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net1.cec.eu.int\ECFIN\C\2\SUSTAINABILITY\EU Fiscal Framework - Technical guidance\Outputs\AF24\2024-12-09 preliminary prior guidance\ToShare\2024-12-12 - prior guidance - calculation sheets\"/>
    </mc:Choice>
  </mc:AlternateContent>
  <xr:revisionPtr revIDLastSave="0" documentId="13_ncr:1_{A8E559F9-15F1-4B55-9728-8EAE68E1FE49}" xr6:coauthVersionLast="47" xr6:coauthVersionMax="47" xr10:uidLastSave="{00000000-0000-0000-0000-000000000000}"/>
  <bookViews>
    <workbookView xWindow="-28920" yWindow="-120" windowWidth="29040" windowHeight="15840" tabRatio="788" activeTab="1" xr2:uid="{00000000-000D-0000-FFFF-FFFF00000000}"/>
  </bookViews>
  <sheets>
    <sheet name="Read me" sheetId="37" r:id="rId1"/>
    <sheet name="Criteria results" sheetId="35" r:id="rId2"/>
    <sheet name="Input data" sheetId="8" r:id="rId3"/>
    <sheet name="Baseline NFPC" sheetId="9" r:id="rId4"/>
    <sheet name="Adjustment scenario" sheetId="21" r:id="rId5"/>
    <sheet name="Adjust. no safeguard" sheetId="40" r:id="rId6"/>
    <sheet name="FASTOP reporting" sheetId="44" r:id="rId7"/>
    <sheet name="FASTOP rep. no safeguard" sheetId="49"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04" i="40" l="1"/>
  <c r="W102" i="21" s="1"/>
  <c r="V104" i="40"/>
  <c r="V102" i="21" s="1"/>
  <c r="U104" i="40"/>
  <c r="T104" i="40"/>
  <c r="S104" i="40"/>
  <c r="R104" i="40"/>
  <c r="Q104" i="40"/>
  <c r="P104" i="40"/>
  <c r="O104" i="40"/>
  <c r="O102" i="21" s="1"/>
  <c r="N104" i="40"/>
  <c r="M104" i="40"/>
  <c r="L104" i="40"/>
  <c r="L102" i="21" s="1"/>
  <c r="K104" i="40"/>
  <c r="K102" i="21" s="1"/>
  <c r="J104" i="40"/>
  <c r="J102" i="21" s="1"/>
  <c r="I104" i="40"/>
  <c r="I102" i="21" s="1"/>
  <c r="H104" i="40"/>
  <c r="H102" i="21" s="1"/>
  <c r="G104" i="40"/>
  <c r="G102" i="21" s="1"/>
  <c r="F104" i="40"/>
  <c r="F102" i="21" s="1"/>
  <c r="C7" i="40"/>
  <c r="C6" i="40"/>
  <c r="C6" i="8"/>
  <c r="C6" i="9"/>
  <c r="U102" i="21"/>
  <c r="T102" i="21"/>
  <c r="S102" i="21"/>
  <c r="R102" i="21"/>
  <c r="Q102" i="21"/>
  <c r="P102" i="21"/>
  <c r="N102" i="21"/>
  <c r="M102" i="21"/>
  <c r="B59" i="49" l="1"/>
  <c r="B60" i="49" s="1"/>
  <c r="B61" i="49" s="1"/>
  <c r="B62" i="49" s="1"/>
  <c r="G57" i="49"/>
  <c r="H57" i="49" s="1"/>
  <c r="I57" i="49" s="1"/>
  <c r="J57" i="49" s="1"/>
  <c r="K57" i="49" s="1"/>
  <c r="L57" i="49" s="1"/>
  <c r="M57" i="49" s="1"/>
  <c r="N57" i="49" s="1"/>
  <c r="O57" i="49" s="1"/>
  <c r="P57" i="49" s="1"/>
  <c r="Q57" i="49" s="1"/>
  <c r="R57" i="49" s="1"/>
  <c r="S57" i="49" s="1"/>
  <c r="T57" i="49" s="1"/>
  <c r="U57" i="49" s="1"/>
  <c r="V57" i="49" s="1"/>
  <c r="W57" i="49" s="1"/>
  <c r="X57" i="49" s="1"/>
  <c r="F57" i="49"/>
  <c r="F53" i="49"/>
  <c r="F40" i="49"/>
  <c r="G40" i="49" s="1"/>
  <c r="H40" i="49" s="1"/>
  <c r="I40" i="49" s="1"/>
  <c r="J40" i="49" s="1"/>
  <c r="K40" i="49" s="1"/>
  <c r="L40" i="49" s="1"/>
  <c r="M40" i="49" s="1"/>
  <c r="N40" i="49" s="1"/>
  <c r="O40" i="49" s="1"/>
  <c r="P40" i="49" s="1"/>
  <c r="Q40" i="49" s="1"/>
  <c r="R40" i="49" s="1"/>
  <c r="S40" i="49" s="1"/>
  <c r="T40" i="49" s="1"/>
  <c r="U40" i="49" s="1"/>
  <c r="V40" i="49" s="1"/>
  <c r="W40" i="49" s="1"/>
  <c r="X40" i="49" s="1"/>
  <c r="E29" i="49"/>
  <c r="E26" i="49"/>
  <c r="E22" i="49"/>
  <c r="F4" i="49"/>
  <c r="E4" i="49"/>
  <c r="G4" i="49" l="1"/>
  <c r="H4" i="49" l="1"/>
  <c r="I4" i="49" l="1"/>
  <c r="J4" i="49" l="1"/>
  <c r="K4" i="49" l="1"/>
  <c r="L4" i="49" l="1"/>
  <c r="M4" i="49" l="1"/>
  <c r="N4" i="49" l="1"/>
  <c r="O4" i="49" l="1"/>
  <c r="P4" i="49" l="1"/>
  <c r="Q4" i="49" l="1"/>
  <c r="R4" i="49" l="1"/>
  <c r="S4" i="49" l="1"/>
  <c r="T4" i="49" l="1"/>
  <c r="U4" i="49" l="1"/>
  <c r="V4" i="49" l="1"/>
  <c r="W4" i="49" l="1"/>
  <c r="X4" i="49" l="1"/>
  <c r="F53" i="44" l="1"/>
  <c r="F57" i="44"/>
  <c r="G57" i="44" s="1"/>
  <c r="H57" i="44" s="1"/>
  <c r="I57" i="44" s="1"/>
  <c r="J57" i="44" s="1"/>
  <c r="K57" i="44" s="1"/>
  <c r="L57" i="44" s="1"/>
  <c r="M57" i="44" s="1"/>
  <c r="N57" i="44" s="1"/>
  <c r="O57" i="44" s="1"/>
  <c r="P57" i="44" s="1"/>
  <c r="Q57" i="44" s="1"/>
  <c r="R57" i="44" s="1"/>
  <c r="S57" i="44" s="1"/>
  <c r="T57" i="44" s="1"/>
  <c r="U57" i="44" s="1"/>
  <c r="V57" i="44" s="1"/>
  <c r="W57" i="44" s="1"/>
  <c r="X57" i="44" s="1"/>
  <c r="F40" i="44"/>
  <c r="G40" i="44" s="1"/>
  <c r="H40" i="44" s="1"/>
  <c r="I40" i="44" s="1"/>
  <c r="J40" i="44" s="1"/>
  <c r="K40" i="44" s="1"/>
  <c r="L40" i="44" s="1"/>
  <c r="M40" i="44" s="1"/>
  <c r="N40" i="44" s="1"/>
  <c r="O40" i="44" s="1"/>
  <c r="P40" i="44" s="1"/>
  <c r="Q40" i="44" s="1"/>
  <c r="R40" i="44" s="1"/>
  <c r="S40" i="44" s="1"/>
  <c r="T40" i="44" s="1"/>
  <c r="U40" i="44" s="1"/>
  <c r="V40" i="44" s="1"/>
  <c r="W40" i="44" s="1"/>
  <c r="X40" i="44" s="1"/>
  <c r="F4" i="44"/>
  <c r="G4" i="44" s="1"/>
  <c r="H4" i="44" s="1"/>
  <c r="I4" i="44" s="1"/>
  <c r="J4" i="44" s="1"/>
  <c r="K4" i="44" s="1"/>
  <c r="L4" i="44" s="1"/>
  <c r="M4" i="44" s="1"/>
  <c r="N4" i="44" s="1"/>
  <c r="O4" i="44" s="1"/>
  <c r="P4" i="44" s="1"/>
  <c r="Q4" i="44" s="1"/>
  <c r="R4" i="44" s="1"/>
  <c r="S4" i="44" s="1"/>
  <c r="T4" i="44" s="1"/>
  <c r="U4" i="44" s="1"/>
  <c r="V4" i="44" s="1"/>
  <c r="W4" i="44" s="1"/>
  <c r="X4" i="44" s="1"/>
  <c r="B59" i="44"/>
  <c r="B60" i="44" s="1"/>
  <c r="B61" i="44" s="1"/>
  <c r="B62" i="44" s="1"/>
  <c r="E4" i="44" l="1"/>
  <c r="E22" i="44"/>
  <c r="E26" i="44"/>
  <c r="E29" i="44"/>
  <c r="E35" i="49" l="1"/>
  <c r="E35" i="44" l="1"/>
  <c r="C47" i="40"/>
  <c r="B17" i="40"/>
  <c r="C5" i="40"/>
  <c r="D65" i="40" s="1"/>
  <c r="B5" i="40"/>
  <c r="J64" i="40" l="1"/>
  <c r="E65" i="40"/>
  <c r="F65" i="40"/>
  <c r="E64" i="40" l="1"/>
  <c r="J65" i="40"/>
  <c r="I65" i="40"/>
  <c r="H65" i="40"/>
  <c r="G65" i="40"/>
  <c r="I64" i="40"/>
  <c r="H64" i="40"/>
  <c r="G64" i="40"/>
  <c r="F64" i="40"/>
  <c r="D64" i="40"/>
  <c r="I11" i="35" l="1"/>
  <c r="B5" i="21" l="1"/>
  <c r="B5" i="9"/>
  <c r="I99" i="9" l="1"/>
  <c r="J99" i="9"/>
  <c r="K99" i="9"/>
  <c r="L99" i="9"/>
  <c r="M99" i="9"/>
  <c r="N99" i="9"/>
  <c r="O99" i="9"/>
  <c r="P99" i="9"/>
  <c r="Q99" i="9"/>
  <c r="R99" i="9"/>
  <c r="S99" i="9"/>
  <c r="T99" i="9"/>
  <c r="U99" i="9"/>
  <c r="V99" i="9"/>
  <c r="W99" i="9"/>
  <c r="H99" i="9"/>
  <c r="F99" i="9" l="1"/>
  <c r="G99" i="9"/>
  <c r="B17" i="21" l="1"/>
  <c r="B16" i="9"/>
  <c r="H35" i="9" l="1"/>
  <c r="Q23" i="9"/>
  <c r="R50" i="49" s="1"/>
  <c r="R23" i="9"/>
  <c r="S50" i="49" s="1"/>
  <c r="S23" i="9"/>
  <c r="T50" i="49" s="1"/>
  <c r="T23" i="9"/>
  <c r="U50" i="49" s="1"/>
  <c r="U23" i="9"/>
  <c r="V50" i="49" s="1"/>
  <c r="V23" i="9"/>
  <c r="W50" i="49" s="1"/>
  <c r="W23" i="9"/>
  <c r="X50" i="49" s="1"/>
  <c r="I23" i="9"/>
  <c r="J50" i="49" s="1"/>
  <c r="J23" i="9"/>
  <c r="K50" i="49" s="1"/>
  <c r="K23" i="9"/>
  <c r="L50" i="49" s="1"/>
  <c r="L23" i="9"/>
  <c r="M50" i="49" s="1"/>
  <c r="N23" i="9"/>
  <c r="O50" i="49" s="1"/>
  <c r="P23" i="9"/>
  <c r="Q50" i="49" s="1"/>
  <c r="M23" i="9"/>
  <c r="N50" i="49" s="1"/>
  <c r="O23" i="9"/>
  <c r="P50" i="49" s="1"/>
  <c r="E42" i="40"/>
  <c r="F17" i="49" s="1"/>
  <c r="C19" i="40"/>
  <c r="Q72" i="40"/>
  <c r="F15" i="40"/>
  <c r="F73" i="40" s="1"/>
  <c r="C57" i="40"/>
  <c r="D42" i="40"/>
  <c r="P72" i="40"/>
  <c r="U15" i="40"/>
  <c r="U73" i="40" s="1"/>
  <c r="E15" i="40"/>
  <c r="E73" i="40" s="1"/>
  <c r="O72" i="40"/>
  <c r="D15" i="40"/>
  <c r="D73" i="40" s="1"/>
  <c r="N72" i="40"/>
  <c r="C15" i="40"/>
  <c r="M72" i="40"/>
  <c r="Q15" i="40"/>
  <c r="Q73" i="40" s="1"/>
  <c r="F14" i="40"/>
  <c r="O15" i="40"/>
  <c r="O73" i="40" s="1"/>
  <c r="D14" i="40"/>
  <c r="D63" i="40" s="1"/>
  <c r="N15" i="40"/>
  <c r="N73" i="40" s="1"/>
  <c r="I19" i="40"/>
  <c r="C24" i="40"/>
  <c r="F36" i="40"/>
  <c r="G13" i="49" s="1"/>
  <c r="U72" i="40"/>
  <c r="C12" i="40"/>
  <c r="E36" i="40"/>
  <c r="F13" i="49" s="1"/>
  <c r="C42" i="40"/>
  <c r="T15" i="40"/>
  <c r="T73" i="40" s="1"/>
  <c r="G37" i="40"/>
  <c r="H11" i="49" s="1"/>
  <c r="S15" i="40"/>
  <c r="S73" i="40" s="1"/>
  <c r="F37" i="40"/>
  <c r="G11" i="49" s="1"/>
  <c r="R15" i="40"/>
  <c r="R73" i="40" s="1"/>
  <c r="G14" i="40"/>
  <c r="E37" i="40"/>
  <c r="F11" i="49" s="1"/>
  <c r="L72" i="40"/>
  <c r="J19" i="40"/>
  <c r="M15" i="40"/>
  <c r="M73" i="40" s="1"/>
  <c r="L15" i="40"/>
  <c r="L73" i="40" s="1"/>
  <c r="V72" i="40"/>
  <c r="D12" i="40"/>
  <c r="G19" i="40"/>
  <c r="J15" i="40"/>
  <c r="J73" i="40" s="1"/>
  <c r="F19" i="40"/>
  <c r="D37" i="40"/>
  <c r="K72" i="40"/>
  <c r="P15" i="40"/>
  <c r="P73" i="40" s="1"/>
  <c r="E14" i="40"/>
  <c r="J72" i="40"/>
  <c r="I72" i="40"/>
  <c r="C14" i="40"/>
  <c r="H72" i="40"/>
  <c r="D38" i="40"/>
  <c r="W72" i="40"/>
  <c r="H19" i="40"/>
  <c r="K15" i="40"/>
  <c r="K73" i="40" s="1"/>
  <c r="E72" i="40"/>
  <c r="F14" i="49" s="1"/>
  <c r="C48" i="40"/>
  <c r="F42" i="40"/>
  <c r="G17" i="49" s="1"/>
  <c r="D36" i="40"/>
  <c r="C36" i="40"/>
  <c r="E19" i="40"/>
  <c r="R72" i="40"/>
  <c r="D71" i="9"/>
  <c r="W15" i="40"/>
  <c r="W73" i="40" s="1"/>
  <c r="I15" i="40"/>
  <c r="I73" i="40" s="1"/>
  <c r="T72" i="40"/>
  <c r="S72" i="40"/>
  <c r="D19" i="40"/>
  <c r="H15" i="40"/>
  <c r="H73" i="40" s="1"/>
  <c r="D79" i="40"/>
  <c r="C3" i="40"/>
  <c r="P13" i="9" l="1"/>
  <c r="P14" i="40"/>
  <c r="P14" i="21"/>
  <c r="W13" i="9"/>
  <c r="W14" i="40"/>
  <c r="W14" i="21"/>
  <c r="T13" i="9"/>
  <c r="T14" i="40"/>
  <c r="T14" i="21"/>
  <c r="H13" i="9"/>
  <c r="H62" i="9" s="1"/>
  <c r="H14" i="40"/>
  <c r="H14" i="21"/>
  <c r="J13" i="9"/>
  <c r="J14" i="21"/>
  <c r="J14" i="40"/>
  <c r="K13" i="9"/>
  <c r="K14" i="40"/>
  <c r="K14" i="21"/>
  <c r="Q13" i="9"/>
  <c r="Q14" i="21"/>
  <c r="Q14" i="40"/>
  <c r="V13" i="9"/>
  <c r="V14" i="21"/>
  <c r="V14" i="40"/>
  <c r="R13" i="9"/>
  <c r="R14" i="21"/>
  <c r="R14" i="40"/>
  <c r="O13" i="9"/>
  <c r="O14" i="40"/>
  <c r="O14" i="21"/>
  <c r="L13" i="9"/>
  <c r="L14" i="40"/>
  <c r="L14" i="21"/>
  <c r="M9" i="44" s="1"/>
  <c r="U13" i="9"/>
  <c r="U14" i="40"/>
  <c r="U14" i="21"/>
  <c r="I13" i="9"/>
  <c r="I14" i="21"/>
  <c r="I14" i="40"/>
  <c r="M13" i="9"/>
  <c r="M14" i="21"/>
  <c r="M14" i="40"/>
  <c r="S13" i="9"/>
  <c r="S14" i="40"/>
  <c r="S14" i="21"/>
  <c r="N13" i="9"/>
  <c r="N14" i="40"/>
  <c r="N14" i="21"/>
  <c r="H23" i="9"/>
  <c r="I50" i="49" s="1"/>
  <c r="H98" i="9"/>
  <c r="J14" i="49"/>
  <c r="U14" i="49"/>
  <c r="S14" i="49"/>
  <c r="X14" i="49"/>
  <c r="N14" i="49"/>
  <c r="P14" i="49"/>
  <c r="K14" i="49"/>
  <c r="W14" i="49"/>
  <c r="M14" i="49"/>
  <c r="Q14" i="49"/>
  <c r="R14" i="49"/>
  <c r="I14" i="49"/>
  <c r="E63" i="40"/>
  <c r="F9" i="49"/>
  <c r="F63" i="40"/>
  <c r="G9" i="49"/>
  <c r="O14" i="49"/>
  <c r="L14" i="49"/>
  <c r="V14" i="49"/>
  <c r="T14" i="49"/>
  <c r="G63" i="40"/>
  <c r="H9" i="49"/>
  <c r="P37" i="9"/>
  <c r="Q47" i="49" s="1"/>
  <c r="H38" i="40"/>
  <c r="I12" i="49" s="1"/>
  <c r="H37" i="40"/>
  <c r="I11" i="49" s="1"/>
  <c r="H41" i="9"/>
  <c r="I51" i="49" s="1"/>
  <c r="H42" i="21"/>
  <c r="H42" i="40"/>
  <c r="I17" i="49" s="1"/>
  <c r="H37" i="9"/>
  <c r="I47" i="49" s="1"/>
  <c r="H38" i="21"/>
  <c r="H36" i="9"/>
  <c r="I46" i="49" s="1"/>
  <c r="H37" i="21"/>
  <c r="D50" i="40"/>
  <c r="E51" i="40" s="1"/>
  <c r="P41" i="9"/>
  <c r="P36" i="9"/>
  <c r="Q46" i="49" s="1"/>
  <c r="C27" i="40"/>
  <c r="D27" i="40" s="1"/>
  <c r="E27" i="40" s="1"/>
  <c r="C23" i="40"/>
  <c r="F79" i="40"/>
  <c r="E79" i="40"/>
  <c r="V15" i="40"/>
  <c r="V73" i="40" s="1"/>
  <c r="V74" i="40" s="1"/>
  <c r="E12" i="40"/>
  <c r="D79" i="21"/>
  <c r="D78" i="9"/>
  <c r="L74" i="40"/>
  <c r="F79" i="21"/>
  <c r="F78" i="9"/>
  <c r="E79" i="21"/>
  <c r="E78" i="9"/>
  <c r="W74" i="40"/>
  <c r="K19" i="40"/>
  <c r="K65" i="40"/>
  <c r="L19" i="40"/>
  <c r="L65" i="40"/>
  <c r="C33" i="40"/>
  <c r="M19" i="40"/>
  <c r="M65" i="40"/>
  <c r="E74" i="40"/>
  <c r="R74" i="40"/>
  <c r="U74" i="40"/>
  <c r="H74" i="40"/>
  <c r="D72" i="40"/>
  <c r="D74" i="40" s="1"/>
  <c r="I74" i="40"/>
  <c r="S74" i="40"/>
  <c r="P19" i="40"/>
  <c r="P65" i="40"/>
  <c r="G14" i="9"/>
  <c r="G15" i="40"/>
  <c r="G73" i="40" s="1"/>
  <c r="G36" i="40"/>
  <c r="H13" i="49" s="1"/>
  <c r="M74" i="40"/>
  <c r="F12" i="21"/>
  <c r="F12" i="40"/>
  <c r="R19" i="40"/>
  <c r="R65" i="40"/>
  <c r="W19" i="40"/>
  <c r="W65" i="40"/>
  <c r="F71" i="9"/>
  <c r="F72" i="40"/>
  <c r="G14" i="49" s="1"/>
  <c r="K74" i="40"/>
  <c r="S19" i="40"/>
  <c r="S65" i="40"/>
  <c r="G23" i="9"/>
  <c r="N19" i="40"/>
  <c r="N65" i="40"/>
  <c r="U19" i="40"/>
  <c r="U65" i="40"/>
  <c r="P74" i="40"/>
  <c r="V19" i="40"/>
  <c r="V65" i="40"/>
  <c r="E37" i="9"/>
  <c r="E38" i="40"/>
  <c r="F12" i="49" s="1"/>
  <c r="F37" i="9"/>
  <c r="F38" i="40"/>
  <c r="G12" i="49" s="1"/>
  <c r="Q19" i="40"/>
  <c r="Q65" i="40"/>
  <c r="G71" i="9"/>
  <c r="G72" i="40"/>
  <c r="G37" i="9"/>
  <c r="G38" i="40"/>
  <c r="H12" i="49" s="1"/>
  <c r="D60" i="40"/>
  <c r="Q74" i="40"/>
  <c r="J74" i="40"/>
  <c r="T19" i="40"/>
  <c r="T65" i="40"/>
  <c r="G42" i="40"/>
  <c r="H17" i="49" s="1"/>
  <c r="O19" i="40"/>
  <c r="O65" i="40"/>
  <c r="T74" i="40"/>
  <c r="C92" i="40"/>
  <c r="D70" i="40"/>
  <c r="O74" i="40"/>
  <c r="N74" i="40"/>
  <c r="D52" i="40"/>
  <c r="C58" i="8"/>
  <c r="V14" i="9"/>
  <c r="V15" i="21"/>
  <c r="L14" i="9"/>
  <c r="L15" i="21"/>
  <c r="W14" i="9"/>
  <c r="W15" i="21"/>
  <c r="M14" i="9"/>
  <c r="M15" i="21"/>
  <c r="N14" i="9"/>
  <c r="N15" i="21"/>
  <c r="Q14" i="9"/>
  <c r="Q15" i="21"/>
  <c r="T14" i="9"/>
  <c r="T15" i="21"/>
  <c r="K14" i="9"/>
  <c r="K15" i="21"/>
  <c r="J14" i="9"/>
  <c r="J15" i="21"/>
  <c r="S14" i="9"/>
  <c r="S15" i="21"/>
  <c r="U14" i="9"/>
  <c r="U15" i="21"/>
  <c r="R14" i="9"/>
  <c r="R15" i="21"/>
  <c r="H14" i="9"/>
  <c r="H72" i="9" s="1"/>
  <c r="H15" i="21"/>
  <c r="P14" i="9"/>
  <c r="P15" i="21"/>
  <c r="I14" i="9"/>
  <c r="I15" i="21"/>
  <c r="O14" i="9"/>
  <c r="O15" i="21"/>
  <c r="F37" i="21"/>
  <c r="G11" i="44" s="1"/>
  <c r="F36" i="9"/>
  <c r="G38" i="21"/>
  <c r="H12" i="44" s="1"/>
  <c r="E37" i="21"/>
  <c r="F11" i="44" s="1"/>
  <c r="E36" i="9"/>
  <c r="E38" i="21"/>
  <c r="F12" i="44" s="1"/>
  <c r="D38" i="21"/>
  <c r="F38" i="21"/>
  <c r="G12" i="44" s="1"/>
  <c r="G36" i="9"/>
  <c r="G37" i="21"/>
  <c r="H11" i="44" s="1"/>
  <c r="D37" i="21"/>
  <c r="G35" i="9"/>
  <c r="H48" i="49" s="1"/>
  <c r="G42" i="21"/>
  <c r="G41" i="9"/>
  <c r="H51" i="49" s="1"/>
  <c r="G15" i="21"/>
  <c r="G14" i="21"/>
  <c r="H9" i="44" s="1"/>
  <c r="G13" i="9"/>
  <c r="G36" i="21"/>
  <c r="C5" i="9"/>
  <c r="G7" i="49" l="1"/>
  <c r="G12" i="40"/>
  <c r="H12" i="40" s="1"/>
  <c r="I12" i="40" s="1"/>
  <c r="J12" i="40" s="1"/>
  <c r="K12" i="40" s="1"/>
  <c r="L12" i="40" s="1"/>
  <c r="M12" i="40" s="1"/>
  <c r="M9" i="49"/>
  <c r="L63" i="40"/>
  <c r="W9" i="49"/>
  <c r="V63" i="40"/>
  <c r="L9" i="49"/>
  <c r="K63" i="40"/>
  <c r="J9" i="49"/>
  <c r="I63" i="40"/>
  <c r="K9" i="49"/>
  <c r="J63" i="40"/>
  <c r="O9" i="49"/>
  <c r="N63" i="40"/>
  <c r="X9" i="49"/>
  <c r="W63" i="40"/>
  <c r="T9" i="49"/>
  <c r="S63" i="40"/>
  <c r="P9" i="49"/>
  <c r="O63" i="40"/>
  <c r="R9" i="49"/>
  <c r="Q63" i="40"/>
  <c r="V9" i="49"/>
  <c r="U63" i="40"/>
  <c r="I9" i="49"/>
  <c r="H63" i="40"/>
  <c r="S9" i="49"/>
  <c r="R63" i="40"/>
  <c r="Q9" i="49"/>
  <c r="P63" i="40"/>
  <c r="N9" i="49"/>
  <c r="M63" i="40"/>
  <c r="U9" i="49"/>
  <c r="T63" i="40"/>
  <c r="Q41" i="9"/>
  <c r="R51" i="49" s="1"/>
  <c r="W41" i="9"/>
  <c r="V41" i="9"/>
  <c r="U41" i="9"/>
  <c r="T41" i="9"/>
  <c r="S41" i="9"/>
  <c r="R41" i="9"/>
  <c r="H32" i="9"/>
  <c r="H47" i="44"/>
  <c r="H47" i="49"/>
  <c r="H50" i="44"/>
  <c r="H50" i="49"/>
  <c r="H14" i="49"/>
  <c r="F46" i="44"/>
  <c r="F46" i="49"/>
  <c r="H46" i="44"/>
  <c r="H46" i="49"/>
  <c r="G47" i="44"/>
  <c r="G47" i="49"/>
  <c r="F47" i="44"/>
  <c r="F47" i="49"/>
  <c r="G46" i="44"/>
  <c r="G46" i="49"/>
  <c r="Q51" i="49"/>
  <c r="E52" i="40"/>
  <c r="F7" i="49"/>
  <c r="F27" i="40"/>
  <c r="F15" i="49"/>
  <c r="I37" i="9"/>
  <c r="J37" i="9" s="1"/>
  <c r="W36" i="9"/>
  <c r="X46" i="49" s="1"/>
  <c r="V36" i="9"/>
  <c r="W46" i="49" s="1"/>
  <c r="U36" i="9"/>
  <c r="V46" i="49" s="1"/>
  <c r="T36" i="9"/>
  <c r="U46" i="49" s="1"/>
  <c r="S36" i="9"/>
  <c r="T46" i="49" s="1"/>
  <c r="R36" i="9"/>
  <c r="S46" i="49" s="1"/>
  <c r="W37" i="9"/>
  <c r="X47" i="49" s="1"/>
  <c r="V37" i="9"/>
  <c r="W47" i="49" s="1"/>
  <c r="U37" i="9"/>
  <c r="V47" i="49" s="1"/>
  <c r="T37" i="9"/>
  <c r="U47" i="49" s="1"/>
  <c r="S37" i="9"/>
  <c r="T47" i="49" s="1"/>
  <c r="R37" i="9"/>
  <c r="S47" i="49" s="1"/>
  <c r="P42" i="40"/>
  <c r="Q17" i="49" s="1"/>
  <c r="J41" i="9"/>
  <c r="K51" i="49" s="1"/>
  <c r="P42" i="21"/>
  <c r="E50" i="40"/>
  <c r="O41" i="9"/>
  <c r="L41" i="9"/>
  <c r="M51" i="49" s="1"/>
  <c r="M41" i="9"/>
  <c r="N51" i="49" s="1"/>
  <c r="K41" i="9"/>
  <c r="L51" i="49" s="1"/>
  <c r="N41" i="9"/>
  <c r="O51" i="49" s="1"/>
  <c r="C30" i="40"/>
  <c r="H48" i="44"/>
  <c r="F74" i="40"/>
  <c r="H13" i="44"/>
  <c r="E60" i="40"/>
  <c r="G7" i="44"/>
  <c r="H17" i="44"/>
  <c r="I41" i="9"/>
  <c r="J51" i="49" s="1"/>
  <c r="H51" i="44"/>
  <c r="Q51" i="44"/>
  <c r="H64" i="9"/>
  <c r="F60" i="40"/>
  <c r="F52" i="40"/>
  <c r="G74" i="40"/>
  <c r="G98" i="9"/>
  <c r="F63" i="9"/>
  <c r="F64" i="9"/>
  <c r="Q37" i="9"/>
  <c r="R47" i="49" s="1"/>
  <c r="Q36" i="9"/>
  <c r="G32" i="9"/>
  <c r="D23" i="9"/>
  <c r="D24" i="40" s="1"/>
  <c r="E23" i="9"/>
  <c r="F50" i="49" s="1"/>
  <c r="F23" i="9"/>
  <c r="G50" i="49" s="1"/>
  <c r="C3" i="9"/>
  <c r="I9" i="44"/>
  <c r="J9" i="44"/>
  <c r="K9" i="44"/>
  <c r="L9" i="44"/>
  <c r="N9" i="44"/>
  <c r="O9" i="44"/>
  <c r="P9" i="44"/>
  <c r="Q9" i="44"/>
  <c r="R9" i="44"/>
  <c r="S9" i="44"/>
  <c r="T9" i="44"/>
  <c r="U9" i="44"/>
  <c r="V9" i="44"/>
  <c r="W9" i="44"/>
  <c r="X9" i="44"/>
  <c r="R51" i="44" l="1"/>
  <c r="Q42" i="40"/>
  <c r="R17" i="49" s="1"/>
  <c r="I38" i="21"/>
  <c r="P51" i="49"/>
  <c r="J38" i="40"/>
  <c r="K12" i="49" s="1"/>
  <c r="K47" i="49"/>
  <c r="H52" i="44"/>
  <c r="H52" i="49"/>
  <c r="I38" i="40"/>
  <c r="J12" i="49" s="1"/>
  <c r="J47" i="49"/>
  <c r="R46" i="44"/>
  <c r="R46" i="49"/>
  <c r="G27" i="40"/>
  <c r="G15" i="49"/>
  <c r="F50" i="40"/>
  <c r="G51" i="40" s="1"/>
  <c r="F51" i="40"/>
  <c r="O42" i="21"/>
  <c r="O42" i="40"/>
  <c r="P17" i="49" s="1"/>
  <c r="K37" i="9"/>
  <c r="J38" i="21"/>
  <c r="P51" i="44"/>
  <c r="W51" i="49"/>
  <c r="U51" i="49"/>
  <c r="V51" i="49"/>
  <c r="S51" i="49"/>
  <c r="T51" i="49"/>
  <c r="X51" i="49"/>
  <c r="P38" i="9"/>
  <c r="P39" i="40" s="1"/>
  <c r="O51" i="44"/>
  <c r="J38" i="9"/>
  <c r="C43" i="40"/>
  <c r="D39" i="40"/>
  <c r="C39" i="40"/>
  <c r="G43" i="40"/>
  <c r="E43" i="40"/>
  <c r="D43" i="40"/>
  <c r="F43" i="40"/>
  <c r="P37" i="40"/>
  <c r="Q11" i="49" s="1"/>
  <c r="Q46" i="44"/>
  <c r="I47" i="44"/>
  <c r="P38" i="40"/>
  <c r="Q12" i="49" s="1"/>
  <c r="Q47" i="44"/>
  <c r="Q38" i="40"/>
  <c r="R12" i="49" s="1"/>
  <c r="R47" i="44"/>
  <c r="I42" i="40"/>
  <c r="J17" i="49" s="1"/>
  <c r="J51" i="44"/>
  <c r="F24" i="40"/>
  <c r="G50" i="44"/>
  <c r="M42" i="40"/>
  <c r="N17" i="49" s="1"/>
  <c r="N51" i="44"/>
  <c r="L42" i="40"/>
  <c r="M17" i="49" s="1"/>
  <c r="M51" i="44"/>
  <c r="K42" i="40"/>
  <c r="L17" i="49" s="1"/>
  <c r="L51" i="44"/>
  <c r="E24" i="40"/>
  <c r="F50" i="44"/>
  <c r="J42" i="40"/>
  <c r="K17" i="49" s="1"/>
  <c r="K51" i="44"/>
  <c r="I51" i="44"/>
  <c r="D33" i="40"/>
  <c r="D68" i="40" s="1"/>
  <c r="N42" i="40"/>
  <c r="O17" i="49" s="1"/>
  <c r="Q37" i="21"/>
  <c r="R11" i="44" s="1"/>
  <c r="Q37" i="40"/>
  <c r="R11" i="49" s="1"/>
  <c r="G96" i="9"/>
  <c r="V38" i="9"/>
  <c r="V39" i="40" s="1"/>
  <c r="W38" i="9"/>
  <c r="W39" i="40" s="1"/>
  <c r="U38" i="9"/>
  <c r="P37" i="21"/>
  <c r="Q11" i="44" s="1"/>
  <c r="N42" i="21"/>
  <c r="E24" i="21"/>
  <c r="F16" i="44" s="1"/>
  <c r="F24" i="21"/>
  <c r="D24" i="21"/>
  <c r="E33" i="40" l="1"/>
  <c r="F18" i="49" s="1"/>
  <c r="F16" i="49"/>
  <c r="F33" i="40"/>
  <c r="G18" i="49" s="1"/>
  <c r="G16" i="49"/>
  <c r="K38" i="40"/>
  <c r="L47" i="49"/>
  <c r="H27" i="40"/>
  <c r="H15" i="49"/>
  <c r="L37" i="9"/>
  <c r="K38" i="21"/>
  <c r="W42" i="40"/>
  <c r="X17" i="49" s="1"/>
  <c r="X51" i="44"/>
  <c r="S42" i="40"/>
  <c r="T17" i="49" s="1"/>
  <c r="T51" i="44"/>
  <c r="R42" i="40"/>
  <c r="S17" i="49" s="1"/>
  <c r="S51" i="44"/>
  <c r="U42" i="40"/>
  <c r="V17" i="49" s="1"/>
  <c r="V51" i="44"/>
  <c r="T42" i="40"/>
  <c r="U17" i="49" s="1"/>
  <c r="U51" i="44"/>
  <c r="V42" i="40"/>
  <c r="W17" i="49" s="1"/>
  <c r="W51" i="44"/>
  <c r="P17" i="44"/>
  <c r="I38" i="9"/>
  <c r="I39" i="40" s="1"/>
  <c r="H38" i="9"/>
  <c r="H39" i="40" s="1"/>
  <c r="O38" i="9"/>
  <c r="O39" i="40" s="1"/>
  <c r="N38" i="9"/>
  <c r="N39" i="40" s="1"/>
  <c r="M38" i="9"/>
  <c r="M39" i="40" s="1"/>
  <c r="L38" i="9"/>
  <c r="L39" i="40" s="1"/>
  <c r="K38" i="9"/>
  <c r="K39" i="40" s="1"/>
  <c r="G38" i="9"/>
  <c r="G39" i="40" s="1"/>
  <c r="G16" i="44"/>
  <c r="I17" i="44"/>
  <c r="J47" i="44"/>
  <c r="O17" i="44"/>
  <c r="J12" i="44"/>
  <c r="G101" i="40"/>
  <c r="G101" i="9"/>
  <c r="D69" i="40"/>
  <c r="H43" i="21"/>
  <c r="H43" i="40"/>
  <c r="E39" i="40"/>
  <c r="U39" i="21"/>
  <c r="U39" i="40"/>
  <c r="U43" i="21"/>
  <c r="U43" i="40"/>
  <c r="I43" i="21"/>
  <c r="I43" i="40"/>
  <c r="R43" i="21"/>
  <c r="R43" i="40"/>
  <c r="Q43" i="21"/>
  <c r="Q43" i="40"/>
  <c r="V43" i="21"/>
  <c r="V43" i="40"/>
  <c r="K43" i="21"/>
  <c r="K43" i="40"/>
  <c r="S43" i="21"/>
  <c r="S43" i="40"/>
  <c r="L43" i="21"/>
  <c r="L43" i="40"/>
  <c r="J43" i="21"/>
  <c r="J43" i="40"/>
  <c r="M43" i="21"/>
  <c r="M43" i="40"/>
  <c r="N43" i="21"/>
  <c r="N43" i="40"/>
  <c r="T43" i="21"/>
  <c r="T43" i="40"/>
  <c r="D78" i="40"/>
  <c r="W43" i="21"/>
  <c r="W43" i="40"/>
  <c r="O43" i="21"/>
  <c r="O43" i="40"/>
  <c r="P43" i="21"/>
  <c r="P43" i="40"/>
  <c r="F39" i="40"/>
  <c r="F43" i="21"/>
  <c r="G43" i="21"/>
  <c r="C39" i="21"/>
  <c r="E43" i="21"/>
  <c r="D39" i="21"/>
  <c r="C43" i="21"/>
  <c r="D43" i="21"/>
  <c r="L38" i="40" l="1"/>
  <c r="M47" i="49"/>
  <c r="I27" i="40"/>
  <c r="I15" i="49"/>
  <c r="G52" i="40"/>
  <c r="H7" i="49"/>
  <c r="L12" i="49"/>
  <c r="M37" i="9"/>
  <c r="L38" i="21"/>
  <c r="G79" i="40"/>
  <c r="K47" i="44"/>
  <c r="K12" i="44"/>
  <c r="G60" i="40"/>
  <c r="G25" i="35"/>
  <c r="G13" i="40"/>
  <c r="J39" i="21"/>
  <c r="J39" i="40"/>
  <c r="M12" i="49" l="1"/>
  <c r="M38" i="40"/>
  <c r="N47" i="49"/>
  <c r="H52" i="40"/>
  <c r="I7" i="49"/>
  <c r="J27" i="40"/>
  <c r="J15" i="49"/>
  <c r="N37" i="9"/>
  <c r="M38" i="21"/>
  <c r="H79" i="40"/>
  <c r="H60" i="40"/>
  <c r="H25" i="35"/>
  <c r="H13" i="40"/>
  <c r="L47" i="44"/>
  <c r="L12" i="44"/>
  <c r="S38" i="9"/>
  <c r="S39" i="40" s="1"/>
  <c r="Q38" i="9"/>
  <c r="Q39" i="40" s="1"/>
  <c r="R38" i="9"/>
  <c r="R39" i="40" s="1"/>
  <c r="T38" i="9"/>
  <c r="C36" i="21"/>
  <c r="D35" i="9"/>
  <c r="D36" i="21"/>
  <c r="E36" i="21"/>
  <c r="F13" i="44" s="1"/>
  <c r="F36" i="21"/>
  <c r="C12" i="21"/>
  <c r="C12" i="9"/>
  <c r="D12" i="21"/>
  <c r="D12" i="9"/>
  <c r="E12" i="21"/>
  <c r="E12" i="9"/>
  <c r="F43" i="49" s="1"/>
  <c r="F12" i="9"/>
  <c r="G43" i="49" s="1"/>
  <c r="N12" i="49" l="1"/>
  <c r="N38" i="40"/>
  <c r="O47" i="49"/>
  <c r="K27" i="40"/>
  <c r="K15" i="49"/>
  <c r="I52" i="40"/>
  <c r="J7" i="49"/>
  <c r="O37" i="9"/>
  <c r="N38" i="21"/>
  <c r="I79" i="40"/>
  <c r="G13" i="44"/>
  <c r="I13" i="40"/>
  <c r="I60" i="40"/>
  <c r="I25" i="35"/>
  <c r="F43" i="44"/>
  <c r="F7" i="44"/>
  <c r="D49" i="9"/>
  <c r="E49" i="9" s="1"/>
  <c r="F49" i="9" s="1"/>
  <c r="G43" i="44"/>
  <c r="M47" i="44"/>
  <c r="M12" i="44"/>
  <c r="T39" i="21"/>
  <c r="T39" i="40"/>
  <c r="D96" i="9"/>
  <c r="G12" i="9"/>
  <c r="H43" i="49" s="1"/>
  <c r="C35" i="9"/>
  <c r="C96" i="9" s="1"/>
  <c r="O12" i="49" l="1"/>
  <c r="O38" i="40"/>
  <c r="P47" i="49"/>
  <c r="J52" i="40"/>
  <c r="K7" i="49"/>
  <c r="L27" i="40"/>
  <c r="L15" i="49"/>
  <c r="O38" i="21"/>
  <c r="P47" i="44"/>
  <c r="J79" i="40"/>
  <c r="D81" i="40" s="1"/>
  <c r="G78" i="9"/>
  <c r="G49" i="9"/>
  <c r="G50" i="40"/>
  <c r="J27" i="35"/>
  <c r="J13" i="40"/>
  <c r="J60" i="40"/>
  <c r="J25" i="35"/>
  <c r="H43" i="44"/>
  <c r="O47" i="44"/>
  <c r="N47" i="44"/>
  <c r="N12" i="44"/>
  <c r="C101" i="40"/>
  <c r="C106" i="40" s="1"/>
  <c r="D101" i="40"/>
  <c r="D106" i="40" s="1"/>
  <c r="H12" i="9"/>
  <c r="I43" i="49" s="1"/>
  <c r="P12" i="49" l="1"/>
  <c r="K52" i="40"/>
  <c r="L7" i="49"/>
  <c r="M27" i="40"/>
  <c r="M15" i="49"/>
  <c r="S47" i="44"/>
  <c r="R38" i="40"/>
  <c r="S12" i="49" s="1"/>
  <c r="T38" i="40"/>
  <c r="U12" i="49" s="1"/>
  <c r="U47" i="44"/>
  <c r="S38" i="40"/>
  <c r="T12" i="49" s="1"/>
  <c r="T47" i="44"/>
  <c r="U38" i="40"/>
  <c r="V12" i="49" s="1"/>
  <c r="V47" i="44"/>
  <c r="W38" i="40"/>
  <c r="X12" i="49" s="1"/>
  <c r="X47" i="44"/>
  <c r="V38" i="40"/>
  <c r="W12" i="49" s="1"/>
  <c r="W47" i="44"/>
  <c r="P12" i="44"/>
  <c r="I12" i="44"/>
  <c r="K79" i="40"/>
  <c r="H78" i="9"/>
  <c r="H49" i="9"/>
  <c r="H50" i="40"/>
  <c r="K13" i="40"/>
  <c r="K25" i="35"/>
  <c r="K60" i="40"/>
  <c r="H59" i="9"/>
  <c r="I43" i="44"/>
  <c r="O12" i="44"/>
  <c r="I12" i="9"/>
  <c r="J43" i="49" s="1"/>
  <c r="C47" i="21"/>
  <c r="C46" i="9"/>
  <c r="N27" i="40" l="1"/>
  <c r="N15" i="49"/>
  <c r="L52" i="40"/>
  <c r="M7" i="49"/>
  <c r="L79" i="40"/>
  <c r="I78" i="9"/>
  <c r="I50" i="40"/>
  <c r="I49" i="9"/>
  <c r="L13" i="40"/>
  <c r="L60" i="40"/>
  <c r="L25" i="35"/>
  <c r="J12" i="9"/>
  <c r="K43" i="49" s="1"/>
  <c r="J43" i="44"/>
  <c r="F51" i="9"/>
  <c r="G51" i="9"/>
  <c r="H51" i="9"/>
  <c r="D50" i="9"/>
  <c r="B18" i="9"/>
  <c r="M52" i="40" l="1"/>
  <c r="N7" i="49"/>
  <c r="O27" i="40"/>
  <c r="O15" i="49"/>
  <c r="J49" i="9"/>
  <c r="M79" i="40"/>
  <c r="J78" i="9"/>
  <c r="J50" i="40"/>
  <c r="M13" i="40"/>
  <c r="M25" i="35"/>
  <c r="M60" i="40"/>
  <c r="M27" i="35"/>
  <c r="N12" i="40"/>
  <c r="O7" i="49" s="1"/>
  <c r="K12" i="9"/>
  <c r="L43" i="49" s="1"/>
  <c r="K43" i="44"/>
  <c r="E63" i="9"/>
  <c r="D64" i="9"/>
  <c r="D63" i="9"/>
  <c r="E64" i="9"/>
  <c r="P27" i="40" l="1"/>
  <c r="P15" i="49"/>
  <c r="N79" i="40"/>
  <c r="N52" i="40"/>
  <c r="K78" i="9"/>
  <c r="K50" i="40"/>
  <c r="K49" i="9"/>
  <c r="N13" i="40"/>
  <c r="N60" i="40"/>
  <c r="O12" i="40"/>
  <c r="P7" i="49" s="1"/>
  <c r="L12" i="9"/>
  <c r="M43" i="49" s="1"/>
  <c r="L43" i="44"/>
  <c r="C5" i="21"/>
  <c r="C7" i="21" l="1"/>
  <c r="C6" i="21"/>
  <c r="Q27" i="40"/>
  <c r="Q15" i="49"/>
  <c r="O79" i="40"/>
  <c r="O52" i="40"/>
  <c r="L78" i="9"/>
  <c r="L50" i="40"/>
  <c r="L49" i="9"/>
  <c r="O13" i="40"/>
  <c r="O60" i="40"/>
  <c r="P12" i="40"/>
  <c r="Q7" i="49" s="1"/>
  <c r="D50" i="21"/>
  <c r="M12" i="9"/>
  <c r="N43" i="49" s="1"/>
  <c r="M43" i="44"/>
  <c r="D65" i="21"/>
  <c r="F65" i="21"/>
  <c r="E65" i="21"/>
  <c r="R27" i="40" l="1"/>
  <c r="R15" i="49"/>
  <c r="E50" i="21"/>
  <c r="F51" i="21" s="1"/>
  <c r="E51" i="21"/>
  <c r="P79" i="40"/>
  <c r="P52" i="40"/>
  <c r="M50" i="40"/>
  <c r="M49" i="9"/>
  <c r="M78" i="9"/>
  <c r="P60" i="40"/>
  <c r="P13" i="40"/>
  <c r="Q12" i="40"/>
  <c r="R7" i="49" s="1"/>
  <c r="N12" i="9"/>
  <c r="O43" i="49" s="1"/>
  <c r="N43" i="44"/>
  <c r="I64" i="21"/>
  <c r="G64" i="21"/>
  <c r="H64" i="21"/>
  <c r="J64" i="21"/>
  <c r="F64" i="21"/>
  <c r="D64" i="21"/>
  <c r="S27" i="40" l="1"/>
  <c r="S15" i="49"/>
  <c r="Q79" i="40"/>
  <c r="Q52" i="40"/>
  <c r="F50" i="21"/>
  <c r="G51" i="21" s="1"/>
  <c r="N50" i="40"/>
  <c r="N49" i="9"/>
  <c r="N78" i="9"/>
  <c r="Q13" i="40"/>
  <c r="R12" i="40"/>
  <c r="Q60" i="40"/>
  <c r="O12" i="9"/>
  <c r="P43" i="49" s="1"/>
  <c r="O43" i="44"/>
  <c r="C48" i="21"/>
  <c r="C47" i="9"/>
  <c r="E35" i="9"/>
  <c r="F35" i="9"/>
  <c r="G48" i="49" s="1"/>
  <c r="C3" i="21"/>
  <c r="F48" i="49" l="1"/>
  <c r="E96" i="9"/>
  <c r="R52" i="40"/>
  <c r="S7" i="49"/>
  <c r="T27" i="40"/>
  <c r="T15" i="49"/>
  <c r="O50" i="40"/>
  <c r="P51" i="40" s="1"/>
  <c r="O49" i="9"/>
  <c r="G48" i="44"/>
  <c r="F48" i="44"/>
  <c r="R60" i="40"/>
  <c r="R79" i="40"/>
  <c r="O78" i="9"/>
  <c r="S12" i="40"/>
  <c r="R13" i="40"/>
  <c r="P12" i="9"/>
  <c r="P43" i="44"/>
  <c r="F98" i="9"/>
  <c r="C99" i="21"/>
  <c r="D99" i="21"/>
  <c r="C22" i="9"/>
  <c r="D22" i="9" s="1"/>
  <c r="D23" i="40" s="1"/>
  <c r="D30" i="40" s="1"/>
  <c r="D62" i="40" s="1"/>
  <c r="C23" i="21"/>
  <c r="C27" i="21"/>
  <c r="D27" i="21" s="1"/>
  <c r="E27" i="21" s="1"/>
  <c r="C26" i="9"/>
  <c r="G59" i="9"/>
  <c r="O51" i="9"/>
  <c r="J59" i="9"/>
  <c r="I59" i="9"/>
  <c r="L51" i="9"/>
  <c r="L59" i="9"/>
  <c r="D59" i="9"/>
  <c r="D51" i="9"/>
  <c r="E59" i="9"/>
  <c r="N59" i="9"/>
  <c r="F59" i="9"/>
  <c r="E51" i="9"/>
  <c r="M59" i="9"/>
  <c r="J51" i="9"/>
  <c r="K51" i="9"/>
  <c r="M51" i="9"/>
  <c r="O59" i="9"/>
  <c r="K59" i="9"/>
  <c r="I51" i="9"/>
  <c r="N51" i="9"/>
  <c r="C23" i="9"/>
  <c r="C24" i="21"/>
  <c r="P50" i="40" l="1"/>
  <c r="Q51" i="40" s="1"/>
  <c r="Q43" i="49"/>
  <c r="S52" i="40"/>
  <c r="T7" i="49"/>
  <c r="U27" i="40"/>
  <c r="U15" i="49"/>
  <c r="P49" i="9"/>
  <c r="S79" i="40"/>
  <c r="P78" i="9"/>
  <c r="S13" i="40"/>
  <c r="T12" i="40"/>
  <c r="S60" i="40"/>
  <c r="P51" i="9"/>
  <c r="P59" i="9"/>
  <c r="Q12" i="9"/>
  <c r="Q43" i="44"/>
  <c r="F27" i="21"/>
  <c r="F15" i="44"/>
  <c r="D59" i="40"/>
  <c r="D77" i="40" s="1"/>
  <c r="E101" i="40"/>
  <c r="E106" i="40" s="1"/>
  <c r="F96" i="9"/>
  <c r="D23" i="21"/>
  <c r="E22" i="9"/>
  <c r="E23" i="40" s="1"/>
  <c r="E30" i="40" s="1"/>
  <c r="E62" i="40" s="1"/>
  <c r="D26" i="9"/>
  <c r="E26" i="9" s="1"/>
  <c r="F49" i="49" s="1"/>
  <c r="M39" i="21"/>
  <c r="C29" i="9"/>
  <c r="F52" i="21"/>
  <c r="C30" i="21"/>
  <c r="F50" i="9"/>
  <c r="E50" i="9"/>
  <c r="G50" i="9"/>
  <c r="F60" i="21"/>
  <c r="E60" i="21"/>
  <c r="E52" i="21"/>
  <c r="D52" i="21"/>
  <c r="D60" i="21"/>
  <c r="E59" i="40" l="1"/>
  <c r="F8" i="49"/>
  <c r="V27" i="40"/>
  <c r="V15" i="49"/>
  <c r="T52" i="40"/>
  <c r="U7" i="49"/>
  <c r="Q50" i="40"/>
  <c r="R51" i="40" s="1"/>
  <c r="R43" i="49"/>
  <c r="Q49" i="9"/>
  <c r="U12" i="40"/>
  <c r="V7" i="49" s="1"/>
  <c r="T79" i="40"/>
  <c r="Q78" i="9"/>
  <c r="T60" i="40"/>
  <c r="T13" i="40"/>
  <c r="F26" i="9"/>
  <c r="G49" i="49" s="1"/>
  <c r="F49" i="44"/>
  <c r="R12" i="9"/>
  <c r="R43" i="44"/>
  <c r="Q51" i="9"/>
  <c r="Q59" i="9"/>
  <c r="G27" i="21"/>
  <c r="G15" i="44"/>
  <c r="F101" i="40"/>
  <c r="F106" i="40" s="1"/>
  <c r="F22" i="9"/>
  <c r="F23" i="40" s="1"/>
  <c r="G23" i="40" s="1"/>
  <c r="E23" i="21"/>
  <c r="H39" i="21"/>
  <c r="V39" i="21"/>
  <c r="S39" i="21"/>
  <c r="L39" i="21"/>
  <c r="W39" i="21"/>
  <c r="E39" i="21"/>
  <c r="R39" i="21"/>
  <c r="Q39" i="21"/>
  <c r="P39" i="21"/>
  <c r="N39" i="21"/>
  <c r="G39" i="21"/>
  <c r="F39" i="21"/>
  <c r="K39" i="21"/>
  <c r="I39" i="21"/>
  <c r="O39" i="21"/>
  <c r="H65" i="21"/>
  <c r="I65" i="21"/>
  <c r="G65" i="21"/>
  <c r="E64" i="21"/>
  <c r="J65" i="21"/>
  <c r="E29" i="9"/>
  <c r="E61" i="9" s="1"/>
  <c r="H50" i="9"/>
  <c r="D29" i="9"/>
  <c r="D61" i="9" s="1"/>
  <c r="R50" i="40" l="1"/>
  <c r="S51" i="40" s="1"/>
  <c r="S43" i="49"/>
  <c r="F44" i="44"/>
  <c r="F44" i="49"/>
  <c r="W27" i="40"/>
  <c r="X15" i="49" s="1"/>
  <c r="W15" i="49"/>
  <c r="U60" i="40"/>
  <c r="U52" i="40"/>
  <c r="R49" i="9"/>
  <c r="V12" i="40"/>
  <c r="W7" i="49" s="1"/>
  <c r="U13" i="40"/>
  <c r="U79" i="40"/>
  <c r="R78" i="9"/>
  <c r="S12" i="9"/>
  <c r="S43" i="44"/>
  <c r="R59" i="9"/>
  <c r="R51" i="9"/>
  <c r="G26" i="9"/>
  <c r="G49" i="44"/>
  <c r="H27" i="21"/>
  <c r="H15" i="44"/>
  <c r="F30" i="40"/>
  <c r="F62" i="40" s="1"/>
  <c r="G8" i="49" s="1"/>
  <c r="G22" i="9"/>
  <c r="H22" i="9" s="1"/>
  <c r="F23" i="21"/>
  <c r="I50" i="9"/>
  <c r="F29" i="9"/>
  <c r="F61" i="9" s="1"/>
  <c r="E30" i="21"/>
  <c r="E62" i="21" s="1"/>
  <c r="F8" i="44" s="1"/>
  <c r="D30" i="21"/>
  <c r="D62" i="21" s="1"/>
  <c r="H49" i="49" l="1"/>
  <c r="H26" i="9"/>
  <c r="I49" i="49" s="1"/>
  <c r="I22" i="9"/>
  <c r="J22" i="9" s="1"/>
  <c r="K22" i="9" s="1"/>
  <c r="L22" i="9" s="1"/>
  <c r="M22" i="9" s="1"/>
  <c r="N22" i="9" s="1"/>
  <c r="O22" i="9" s="1"/>
  <c r="P22" i="9" s="1"/>
  <c r="Q22" i="9" s="1"/>
  <c r="R22" i="9" s="1"/>
  <c r="S22" i="9" s="1"/>
  <c r="T22" i="9" s="1"/>
  <c r="U22" i="9" s="1"/>
  <c r="V22" i="9" s="1"/>
  <c r="W22" i="9" s="1"/>
  <c r="S50" i="40"/>
  <c r="T51" i="40" s="1"/>
  <c r="T43" i="49"/>
  <c r="G44" i="44"/>
  <c r="G44" i="49"/>
  <c r="V79" i="40"/>
  <c r="V52" i="40"/>
  <c r="S49" i="9"/>
  <c r="V60" i="40"/>
  <c r="V13" i="40"/>
  <c r="W12" i="40"/>
  <c r="X7" i="49" s="1"/>
  <c r="S78" i="9"/>
  <c r="H49" i="44"/>
  <c r="T12" i="9"/>
  <c r="T43" i="44"/>
  <c r="S59" i="9"/>
  <c r="S51" i="9"/>
  <c r="I27" i="21"/>
  <c r="I15" i="44"/>
  <c r="F59" i="40"/>
  <c r="G24" i="40"/>
  <c r="H16" i="49" s="1"/>
  <c r="G30" i="40"/>
  <c r="G29" i="9"/>
  <c r="J50" i="9"/>
  <c r="F30" i="21"/>
  <c r="F62" i="21" s="1"/>
  <c r="G8" i="44" s="1"/>
  <c r="H29" i="9" l="1"/>
  <c r="T50" i="40"/>
  <c r="U51" i="40" s="1"/>
  <c r="U43" i="49"/>
  <c r="H51" i="40"/>
  <c r="H23" i="40" s="1"/>
  <c r="W79" i="40"/>
  <c r="W52" i="40"/>
  <c r="T49" i="9"/>
  <c r="W13" i="40"/>
  <c r="G61" i="9"/>
  <c r="W60" i="40"/>
  <c r="T78" i="9"/>
  <c r="U12" i="9"/>
  <c r="U43" i="44"/>
  <c r="T51" i="9"/>
  <c r="T59" i="9"/>
  <c r="I26" i="9"/>
  <c r="J49" i="49" s="1"/>
  <c r="I49" i="44"/>
  <c r="J27" i="21"/>
  <c r="J15" i="44"/>
  <c r="G106" i="40"/>
  <c r="G62" i="40"/>
  <c r="H8" i="49" s="1"/>
  <c r="G33" i="40"/>
  <c r="H18" i="49" s="1"/>
  <c r="K50" i="9"/>
  <c r="U50" i="40" l="1"/>
  <c r="V51" i="40" s="1"/>
  <c r="V43" i="49"/>
  <c r="H44" i="44"/>
  <c r="H44" i="49"/>
  <c r="U49" i="9"/>
  <c r="U78" i="9"/>
  <c r="V43" i="44"/>
  <c r="V12" i="9"/>
  <c r="U59" i="9"/>
  <c r="U51" i="9"/>
  <c r="J49" i="44"/>
  <c r="J26" i="9"/>
  <c r="K49" i="49" s="1"/>
  <c r="K27" i="21"/>
  <c r="K15" i="44"/>
  <c r="G59" i="40"/>
  <c r="L50" i="9"/>
  <c r="V50" i="40" l="1"/>
  <c r="W51" i="40" s="1"/>
  <c r="W43" i="49"/>
  <c r="V49" i="9"/>
  <c r="V78" i="9"/>
  <c r="K26" i="9"/>
  <c r="L49" i="49" s="1"/>
  <c r="K49" i="44"/>
  <c r="V51" i="9"/>
  <c r="W43" i="44"/>
  <c r="W12" i="9"/>
  <c r="V59" i="9"/>
  <c r="L27" i="21"/>
  <c r="L15" i="44"/>
  <c r="M50" i="9"/>
  <c r="W50" i="40" l="1"/>
  <c r="X43" i="49"/>
  <c r="W49" i="9"/>
  <c r="W78" i="9"/>
  <c r="X43" i="44"/>
  <c r="W51" i="9"/>
  <c r="W59" i="9"/>
  <c r="L26" i="9"/>
  <c r="M49" i="49" s="1"/>
  <c r="L49" i="44"/>
  <c r="M27" i="21"/>
  <c r="M15" i="44"/>
  <c r="N50" i="9"/>
  <c r="M26" i="9" l="1"/>
  <c r="N49" i="49" s="1"/>
  <c r="M49" i="44"/>
  <c r="N27" i="21"/>
  <c r="N15" i="44"/>
  <c r="O50" i="9"/>
  <c r="N26" i="9" l="1"/>
  <c r="O49" i="49" s="1"/>
  <c r="N49" i="44"/>
  <c r="O27" i="21"/>
  <c r="O15" i="44"/>
  <c r="P50" i="9"/>
  <c r="O26" i="9" l="1"/>
  <c r="P49" i="49" s="1"/>
  <c r="O49" i="44"/>
  <c r="P27" i="21"/>
  <c r="P15" i="44"/>
  <c r="Q50" i="9"/>
  <c r="P26" i="9" l="1"/>
  <c r="Q49" i="49" s="1"/>
  <c r="P49" i="44"/>
  <c r="Q27" i="21"/>
  <c r="Q15" i="44"/>
  <c r="R50" i="9"/>
  <c r="Q26" i="9" l="1"/>
  <c r="R49" i="49" s="1"/>
  <c r="Q49" i="44"/>
  <c r="R27" i="21"/>
  <c r="R15" i="44"/>
  <c r="S50" i="9"/>
  <c r="R26" i="9" l="1"/>
  <c r="S49" i="49" s="1"/>
  <c r="R49" i="44"/>
  <c r="S27" i="21"/>
  <c r="S15" i="44"/>
  <c r="T50" i="9"/>
  <c r="S26" i="9" l="1"/>
  <c r="T49" i="49" s="1"/>
  <c r="S49" i="44"/>
  <c r="T27" i="21"/>
  <c r="T15" i="44"/>
  <c r="U50" i="9"/>
  <c r="T26" i="9" l="1"/>
  <c r="U49" i="49" s="1"/>
  <c r="T49" i="44"/>
  <c r="U15" i="44"/>
  <c r="U27" i="21"/>
  <c r="V50" i="9"/>
  <c r="U26" i="9" l="1"/>
  <c r="V49" i="49" s="1"/>
  <c r="U49" i="44"/>
  <c r="V27" i="21"/>
  <c r="V15" i="44"/>
  <c r="W50" i="9"/>
  <c r="V26" i="9" l="1"/>
  <c r="W49" i="49" s="1"/>
  <c r="V49" i="44"/>
  <c r="W27" i="21"/>
  <c r="X15" i="44" s="1"/>
  <c r="W15" i="44"/>
  <c r="W26" i="9" l="1"/>
  <c r="W49" i="44"/>
  <c r="X49" i="44" l="1"/>
  <c r="X49" i="49"/>
  <c r="M72" i="21"/>
  <c r="N14" i="44" s="1"/>
  <c r="M71" i="9"/>
  <c r="R71" i="9"/>
  <c r="R72" i="21"/>
  <c r="S14" i="44" s="1"/>
  <c r="Q72" i="21"/>
  <c r="R14" i="44" s="1"/>
  <c r="Q71" i="9"/>
  <c r="J72" i="21"/>
  <c r="K14" i="44" s="1"/>
  <c r="J71" i="9"/>
  <c r="S72" i="21"/>
  <c r="T14" i="44" s="1"/>
  <c r="S71" i="9"/>
  <c r="P71" i="9"/>
  <c r="P72" i="21"/>
  <c r="Q14" i="44" s="1"/>
  <c r="G72" i="21"/>
  <c r="H14" i="44" s="1"/>
  <c r="K71" i="9"/>
  <c r="K72" i="21"/>
  <c r="L14" i="44" s="1"/>
  <c r="H71" i="9"/>
  <c r="H72" i="21"/>
  <c r="I14" i="44" s="1"/>
  <c r="U71" i="9"/>
  <c r="U72" i="21"/>
  <c r="V14" i="44" s="1"/>
  <c r="V71" i="9"/>
  <c r="V72" i="21"/>
  <c r="W14" i="44" s="1"/>
  <c r="I71" i="9"/>
  <c r="I72" i="21"/>
  <c r="J14" i="44" s="1"/>
  <c r="T72" i="21"/>
  <c r="U14" i="44" s="1"/>
  <c r="T71" i="9"/>
  <c r="N71" i="9"/>
  <c r="N72" i="21"/>
  <c r="O14" i="44" s="1"/>
  <c r="W72" i="21"/>
  <c r="X14" i="44" s="1"/>
  <c r="W71" i="9"/>
  <c r="O72" i="21"/>
  <c r="P14" i="44" s="1"/>
  <c r="O71" i="9"/>
  <c r="L72" i="21"/>
  <c r="M14" i="44" s="1"/>
  <c r="L71" i="9"/>
  <c r="Q73" i="21" l="1"/>
  <c r="Q74" i="21" s="1"/>
  <c r="Q72" i="9"/>
  <c r="Q73" i="9" s="1"/>
  <c r="L73" i="21"/>
  <c r="L74" i="21" s="1"/>
  <c r="L72" i="9"/>
  <c r="L73" i="9" s="1"/>
  <c r="I63" i="21"/>
  <c r="I62" i="9"/>
  <c r="K73" i="21"/>
  <c r="K74" i="21" s="1"/>
  <c r="K72" i="9"/>
  <c r="K73" i="9" s="1"/>
  <c r="G72" i="9"/>
  <c r="G73" i="9" s="1"/>
  <c r="G73" i="21"/>
  <c r="G74" i="21" s="1"/>
  <c r="O72" i="9"/>
  <c r="O73" i="9" s="1"/>
  <c r="O73" i="21"/>
  <c r="O74" i="21" s="1"/>
  <c r="Q63" i="21"/>
  <c r="Q62" i="9"/>
  <c r="K63" i="21"/>
  <c r="K62" i="9"/>
  <c r="W63" i="21"/>
  <c r="W62" i="9"/>
  <c r="N62" i="9"/>
  <c r="N63" i="21"/>
  <c r="J72" i="9"/>
  <c r="J73" i="9" s="1"/>
  <c r="J73" i="21"/>
  <c r="J74" i="21" s="1"/>
  <c r="W73" i="21"/>
  <c r="W74" i="21" s="1"/>
  <c r="W72" i="9"/>
  <c r="W73" i="9" s="1"/>
  <c r="P72" i="9"/>
  <c r="P73" i="9" s="1"/>
  <c r="P73" i="21"/>
  <c r="P74" i="21" s="1"/>
  <c r="M72" i="9"/>
  <c r="M73" i="9" s="1"/>
  <c r="M73" i="21"/>
  <c r="M74" i="21" s="1"/>
  <c r="U62" i="9"/>
  <c r="U63" i="21"/>
  <c r="O63" i="21"/>
  <c r="O62" i="9"/>
  <c r="L62" i="9"/>
  <c r="L63" i="21"/>
  <c r="N72" i="9"/>
  <c r="N73" i="9" s="1"/>
  <c r="N73" i="21"/>
  <c r="N74" i="21" s="1"/>
  <c r="S72" i="9"/>
  <c r="S73" i="9" s="1"/>
  <c r="S73" i="21"/>
  <c r="S74" i="21" s="1"/>
  <c r="V73" i="21"/>
  <c r="V74" i="21" s="1"/>
  <c r="V72" i="9"/>
  <c r="V73" i="9" s="1"/>
  <c r="S63" i="21"/>
  <c r="S62" i="9"/>
  <c r="M63" i="21"/>
  <c r="M62" i="9"/>
  <c r="T72" i="9"/>
  <c r="T73" i="9" s="1"/>
  <c r="T73" i="21"/>
  <c r="T74" i="21" s="1"/>
  <c r="R63" i="21"/>
  <c r="R62" i="9"/>
  <c r="J62" i="9"/>
  <c r="J63" i="21"/>
  <c r="H63" i="21"/>
  <c r="G62" i="9"/>
  <c r="G63" i="21"/>
  <c r="U72" i="9"/>
  <c r="U73" i="9" s="1"/>
  <c r="U73" i="21"/>
  <c r="U74" i="21" s="1"/>
  <c r="T63" i="21"/>
  <c r="T62" i="9"/>
  <c r="V62" i="9"/>
  <c r="V63" i="21"/>
  <c r="H73" i="9"/>
  <c r="H73" i="21"/>
  <c r="H74" i="21" s="1"/>
  <c r="R72" i="9"/>
  <c r="R73" i="9" s="1"/>
  <c r="R73" i="21"/>
  <c r="R74" i="21" s="1"/>
  <c r="I73" i="21"/>
  <c r="I74" i="21" s="1"/>
  <c r="I72" i="9"/>
  <c r="I73" i="9" s="1"/>
  <c r="P62" i="9"/>
  <c r="P63" i="21"/>
  <c r="F72" i="21" l="1"/>
  <c r="G14" i="44" s="1"/>
  <c r="E71" i="9"/>
  <c r="E72" i="21"/>
  <c r="F14" i="44" s="1"/>
  <c r="D72" i="21"/>
  <c r="C20" i="8" l="1"/>
  <c r="W20" i="8"/>
  <c r="D20" i="8"/>
  <c r="U20" i="8"/>
  <c r="J20" i="8"/>
  <c r="T20" i="8"/>
  <c r="S20" i="8"/>
  <c r="D15" i="21"/>
  <c r="D73" i="21" s="1"/>
  <c r="D74" i="21" s="1"/>
  <c r="D14" i="9"/>
  <c r="D72" i="9" s="1"/>
  <c r="D73" i="9" s="1"/>
  <c r="Q20" i="8"/>
  <c r="J18" i="9"/>
  <c r="J64" i="9"/>
  <c r="J19" i="21"/>
  <c r="N20" i="8"/>
  <c r="M20" i="8"/>
  <c r="E20" i="8"/>
  <c r="E18" i="40" s="1"/>
  <c r="L18" i="9"/>
  <c r="L64" i="9"/>
  <c r="L19" i="21"/>
  <c r="L65" i="21"/>
  <c r="Q65" i="21"/>
  <c r="Q18" i="9"/>
  <c r="Q19" i="21"/>
  <c r="Q64" i="9"/>
  <c r="V20" i="8"/>
  <c r="K20" i="8"/>
  <c r="U18" i="9"/>
  <c r="U19" i="21"/>
  <c r="U64" i="9"/>
  <c r="U65" i="21"/>
  <c r="G20" i="8"/>
  <c r="G18" i="40" s="1"/>
  <c r="R20" i="8"/>
  <c r="H18" i="9"/>
  <c r="H19" i="21"/>
  <c r="R65" i="21"/>
  <c r="R64" i="9"/>
  <c r="R18" i="9"/>
  <c r="R19" i="21"/>
  <c r="C56" i="9"/>
  <c r="C57" i="21"/>
  <c r="G19" i="21"/>
  <c r="G64" i="9"/>
  <c r="G18" i="9"/>
  <c r="L20" i="8"/>
  <c r="P64" i="9"/>
  <c r="P19" i="21"/>
  <c r="P65" i="21"/>
  <c r="P18" i="9"/>
  <c r="D14" i="21"/>
  <c r="D63" i="21" s="1"/>
  <c r="D59" i="21" s="1"/>
  <c r="D13" i="9"/>
  <c r="D62" i="9" s="1"/>
  <c r="D58" i="9" s="1"/>
  <c r="S18" i="9"/>
  <c r="S19" i="21"/>
  <c r="S64" i="9"/>
  <c r="S65" i="21"/>
  <c r="K19" i="21"/>
  <c r="K65" i="21"/>
  <c r="K18" i="9"/>
  <c r="K64" i="9"/>
  <c r="H20" i="8"/>
  <c r="H18" i="40" s="1"/>
  <c r="D18" i="9"/>
  <c r="D19" i="21"/>
  <c r="I20" i="8"/>
  <c r="I18" i="40" s="1"/>
  <c r="I18" i="9"/>
  <c r="I64" i="9"/>
  <c r="I19" i="21"/>
  <c r="M18" i="9"/>
  <c r="M64" i="9"/>
  <c r="M65" i="21"/>
  <c r="M19" i="21"/>
  <c r="N64" i="9"/>
  <c r="N65" i="21"/>
  <c r="N18" i="9"/>
  <c r="N19" i="21"/>
  <c r="F41" i="9"/>
  <c r="G51" i="49" s="1"/>
  <c r="F42" i="21"/>
  <c r="F14" i="21"/>
  <c r="G9" i="44" s="1"/>
  <c r="F13" i="9"/>
  <c r="F62" i="9" s="1"/>
  <c r="F58" i="9" s="1"/>
  <c r="W64" i="9"/>
  <c r="W19" i="21"/>
  <c r="W65" i="21"/>
  <c r="W18" i="9"/>
  <c r="E15" i="21"/>
  <c r="E73" i="21" s="1"/>
  <c r="E74" i="21" s="1"/>
  <c r="E14" i="9"/>
  <c r="E72" i="9" s="1"/>
  <c r="E73" i="9" s="1"/>
  <c r="F15" i="21"/>
  <c r="F73" i="21" s="1"/>
  <c r="F74" i="21" s="1"/>
  <c r="F14" i="9"/>
  <c r="F72" i="9" s="1"/>
  <c r="F73" i="9" s="1"/>
  <c r="P20" i="8"/>
  <c r="F20" i="8"/>
  <c r="F18" i="40" s="1"/>
  <c r="C15" i="21"/>
  <c r="C14" i="9"/>
  <c r="F18" i="9"/>
  <c r="F19" i="21"/>
  <c r="E14" i="21"/>
  <c r="E13" i="9"/>
  <c r="E62" i="9" s="1"/>
  <c r="E58" i="9" s="1"/>
  <c r="T19" i="21"/>
  <c r="T65" i="21"/>
  <c r="T18" i="9"/>
  <c r="T64" i="9"/>
  <c r="E19" i="21"/>
  <c r="E18" i="9"/>
  <c r="C14" i="21"/>
  <c r="C13" i="9"/>
  <c r="O65" i="21"/>
  <c r="O19" i="21"/>
  <c r="O18" i="9"/>
  <c r="O64" i="9"/>
  <c r="C19" i="21"/>
  <c r="C18" i="9"/>
  <c r="E41" i="9"/>
  <c r="F51" i="49" s="1"/>
  <c r="E42" i="21"/>
  <c r="F17" i="44" s="1"/>
  <c r="C41" i="9"/>
  <c r="C101" i="9" s="1"/>
  <c r="C42" i="21"/>
  <c r="C104" i="21" s="1"/>
  <c r="O20" i="8"/>
  <c r="D42" i="21"/>
  <c r="D104" i="21" s="1"/>
  <c r="D41" i="9"/>
  <c r="D101" i="9" s="1"/>
  <c r="V65" i="21"/>
  <c r="V64" i="9"/>
  <c r="V19" i="21"/>
  <c r="V18" i="9"/>
  <c r="F101" i="9" l="1"/>
  <c r="G51" i="44"/>
  <c r="E101" i="9"/>
  <c r="F51" i="44"/>
  <c r="F33" i="21"/>
  <c r="G18" i="44" s="1"/>
  <c r="G17" i="44"/>
  <c r="E63" i="21"/>
  <c r="E59" i="21" s="1"/>
  <c r="F9" i="44"/>
  <c r="F63" i="21"/>
  <c r="L18" i="40"/>
  <c r="L64" i="40"/>
  <c r="K18" i="40"/>
  <c r="K64" i="40"/>
  <c r="M18" i="40"/>
  <c r="M64" i="40"/>
  <c r="N18" i="40"/>
  <c r="N64" i="40"/>
  <c r="R18" i="40"/>
  <c r="R64" i="40"/>
  <c r="V18" i="40"/>
  <c r="V64" i="40"/>
  <c r="S18" i="40"/>
  <c r="S64" i="40"/>
  <c r="T18" i="40"/>
  <c r="T64" i="40"/>
  <c r="J18" i="21"/>
  <c r="J18" i="40"/>
  <c r="U18" i="40"/>
  <c r="U64" i="40"/>
  <c r="D18" i="40"/>
  <c r="P18" i="40"/>
  <c r="P64" i="40"/>
  <c r="O18" i="40"/>
  <c r="O64" i="40"/>
  <c r="Q18" i="40"/>
  <c r="Q64" i="40"/>
  <c r="W18" i="40"/>
  <c r="W64" i="40"/>
  <c r="C18" i="40"/>
  <c r="H63" i="9"/>
  <c r="K64" i="21"/>
  <c r="M64" i="21"/>
  <c r="N64" i="21"/>
  <c r="R64" i="21"/>
  <c r="L64" i="21"/>
  <c r="V64" i="21"/>
  <c r="S18" i="21"/>
  <c r="S64" i="21"/>
  <c r="T64" i="21"/>
  <c r="U64" i="21"/>
  <c r="P64" i="21"/>
  <c r="O64" i="21"/>
  <c r="Q64" i="21"/>
  <c r="W64" i="21"/>
  <c r="U17" i="9"/>
  <c r="G63" i="9"/>
  <c r="G58" i="9" s="1"/>
  <c r="C18" i="21"/>
  <c r="C17" i="9"/>
  <c r="W17" i="9"/>
  <c r="T17" i="9"/>
  <c r="S63" i="9"/>
  <c r="T18" i="21"/>
  <c r="S17" i="9"/>
  <c r="J17" i="9"/>
  <c r="D17" i="9"/>
  <c r="D18" i="21"/>
  <c r="U18" i="21"/>
  <c r="W18" i="21"/>
  <c r="W63" i="9"/>
  <c r="T63" i="9"/>
  <c r="E32" i="9"/>
  <c r="O63" i="9"/>
  <c r="F17" i="9"/>
  <c r="F18" i="21"/>
  <c r="L18" i="21"/>
  <c r="L17" i="9"/>
  <c r="L63" i="9"/>
  <c r="V42" i="21"/>
  <c r="D33" i="21"/>
  <c r="D69" i="21" s="1"/>
  <c r="R42" i="21"/>
  <c r="W42" i="21"/>
  <c r="V18" i="21"/>
  <c r="V17" i="9"/>
  <c r="V63" i="9"/>
  <c r="C33" i="21"/>
  <c r="F32" i="9"/>
  <c r="C90" i="21"/>
  <c r="D70" i="21"/>
  <c r="S42" i="21"/>
  <c r="P18" i="21"/>
  <c r="P63" i="9"/>
  <c r="P17" i="9"/>
  <c r="I18" i="21"/>
  <c r="I17" i="9"/>
  <c r="I63" i="9"/>
  <c r="U42" i="21"/>
  <c r="M17" i="9"/>
  <c r="M63" i="9"/>
  <c r="M18" i="21"/>
  <c r="J63" i="9"/>
  <c r="C32" i="9"/>
  <c r="C87" i="9"/>
  <c r="D69" i="9"/>
  <c r="R18" i="21"/>
  <c r="R17" i="9"/>
  <c r="R63" i="9"/>
  <c r="Q42" i="21"/>
  <c r="N63" i="9"/>
  <c r="N17" i="9"/>
  <c r="N18" i="21"/>
  <c r="U63" i="9"/>
  <c r="Q63" i="9"/>
  <c r="Q17" i="9"/>
  <c r="Q18" i="21"/>
  <c r="D32" i="9"/>
  <c r="D68" i="9" s="1"/>
  <c r="O17" i="9"/>
  <c r="O18" i="21"/>
  <c r="E33" i="21"/>
  <c r="F18" i="44" s="1"/>
  <c r="H17" i="9"/>
  <c r="H18" i="21"/>
  <c r="G17" i="9"/>
  <c r="G18" i="21"/>
  <c r="K63" i="9"/>
  <c r="K17" i="9"/>
  <c r="K18" i="21"/>
  <c r="E18" i="21"/>
  <c r="E17" i="9"/>
  <c r="T42" i="21"/>
  <c r="F52" i="44" l="1"/>
  <c r="F52" i="49"/>
  <c r="G52" i="44"/>
  <c r="G52" i="49"/>
  <c r="X17" i="44"/>
  <c r="Q17" i="44"/>
  <c r="R17" i="44"/>
  <c r="V17" i="44"/>
  <c r="S17" i="44"/>
  <c r="W17" i="44"/>
  <c r="U17" i="44"/>
  <c r="T17" i="44"/>
  <c r="D68" i="21"/>
  <c r="D67" i="9"/>
  <c r="D66" i="9" s="1"/>
  <c r="L42" i="21"/>
  <c r="Q38" i="21"/>
  <c r="R12" i="44" s="1"/>
  <c r="K42" i="21"/>
  <c r="J42" i="21"/>
  <c r="W38" i="21"/>
  <c r="X12" i="44" s="1"/>
  <c r="V38" i="21"/>
  <c r="W12" i="44" s="1"/>
  <c r="U38" i="21"/>
  <c r="V12" i="44" s="1"/>
  <c r="M42" i="21"/>
  <c r="T38" i="21"/>
  <c r="U12" i="44" s="1"/>
  <c r="R38" i="21"/>
  <c r="S12" i="44" s="1"/>
  <c r="I42" i="21"/>
  <c r="S38" i="21"/>
  <c r="T12" i="44" s="1"/>
  <c r="P38" i="21"/>
  <c r="Q12" i="44" s="1"/>
  <c r="D71" i="40" l="1"/>
  <c r="D67" i="40" s="1"/>
  <c r="D58" i="40" s="1"/>
  <c r="D57" i="40" s="1"/>
  <c r="D71" i="21"/>
  <c r="D67" i="21" s="1"/>
  <c r="D58" i="21" s="1"/>
  <c r="D57" i="21" s="1"/>
  <c r="J17" i="44"/>
  <c r="K17" i="44"/>
  <c r="L17" i="44"/>
  <c r="N17" i="44"/>
  <c r="M17" i="44"/>
  <c r="D77" i="21"/>
  <c r="D78" i="21"/>
  <c r="D76" i="9"/>
  <c r="D77" i="9"/>
  <c r="E68" i="40" l="1"/>
  <c r="F10" i="49" s="1"/>
  <c r="E69" i="40"/>
  <c r="D92" i="40"/>
  <c r="E70" i="40"/>
  <c r="D57" i="9"/>
  <c r="D56" i="9" s="1"/>
  <c r="E68" i="21"/>
  <c r="E69" i="21"/>
  <c r="E70" i="21"/>
  <c r="D90" i="21"/>
  <c r="E77" i="40" l="1"/>
  <c r="F6" i="49" s="1"/>
  <c r="E78" i="40"/>
  <c r="F10" i="44"/>
  <c r="D87" i="9"/>
  <c r="E68" i="9"/>
  <c r="E67" i="9"/>
  <c r="F45" i="49" s="1"/>
  <c r="E69" i="9"/>
  <c r="E77" i="21"/>
  <c r="E78" i="21"/>
  <c r="F6" i="44" l="1"/>
  <c r="F45" i="44"/>
  <c r="E76" i="9"/>
  <c r="F42" i="49" s="1"/>
  <c r="E77" i="9"/>
  <c r="E66" i="9" l="1"/>
  <c r="E57" i="9" s="1"/>
  <c r="E56" i="9" s="1"/>
  <c r="E71" i="21"/>
  <c r="E67" i="21" s="1"/>
  <c r="E58" i="21" s="1"/>
  <c r="E57" i="21" s="1"/>
  <c r="E71" i="40"/>
  <c r="E67" i="40" s="1"/>
  <c r="E58" i="40" s="1"/>
  <c r="E57" i="40" s="1"/>
  <c r="F42" i="44"/>
  <c r="F5" i="49" l="1"/>
  <c r="F41" i="49"/>
  <c r="F41" i="44"/>
  <c r="E87" i="9"/>
  <c r="F67" i="9"/>
  <c r="F68" i="9"/>
  <c r="F69" i="9"/>
  <c r="F68" i="40"/>
  <c r="G10" i="49" s="1"/>
  <c r="F69" i="40"/>
  <c r="F70" i="40"/>
  <c r="E92" i="40"/>
  <c r="F5" i="44"/>
  <c r="F68" i="21"/>
  <c r="F69" i="21"/>
  <c r="F70" i="21"/>
  <c r="E90" i="21"/>
  <c r="F58" i="49" l="1"/>
  <c r="E89" i="9"/>
  <c r="E92" i="9"/>
  <c r="E88" i="9"/>
  <c r="E91" i="9"/>
  <c r="E90" i="9"/>
  <c r="E97" i="40"/>
  <c r="F62" i="49" s="1"/>
  <c r="E96" i="40"/>
  <c r="F61" i="49" s="1"/>
  <c r="E93" i="40"/>
  <c r="E95" i="40"/>
  <c r="F60" i="49" s="1"/>
  <c r="E94" i="40"/>
  <c r="F59" i="49" s="1"/>
  <c r="E92" i="21"/>
  <c r="E95" i="21"/>
  <c r="E91" i="21"/>
  <c r="E94" i="21"/>
  <c r="E93" i="21"/>
  <c r="F76" i="9"/>
  <c r="G42" i="49" s="1"/>
  <c r="G45" i="49"/>
  <c r="G45" i="44"/>
  <c r="F77" i="9"/>
  <c r="G10" i="44"/>
  <c r="F77" i="40"/>
  <c r="G6" i="49" s="1"/>
  <c r="F78" i="40"/>
  <c r="G42" i="44" l="1"/>
  <c r="F71" i="40"/>
  <c r="F67" i="40" s="1"/>
  <c r="F58" i="40" s="1"/>
  <c r="F57" i="40" s="1"/>
  <c r="F71" i="21"/>
  <c r="F67" i="21" s="1"/>
  <c r="F66" i="9"/>
  <c r="F57" i="9" s="1"/>
  <c r="F56" i="9" s="1"/>
  <c r="F99" i="21"/>
  <c r="G41" i="49" l="1"/>
  <c r="G68" i="40"/>
  <c r="H10" i="49" s="1"/>
  <c r="G5" i="49"/>
  <c r="G70" i="40"/>
  <c r="F92" i="40"/>
  <c r="G58" i="49" s="1"/>
  <c r="G69" i="40"/>
  <c r="G41" i="44"/>
  <c r="E93" i="9"/>
  <c r="G67" i="9"/>
  <c r="G69" i="9"/>
  <c r="G68" i="9"/>
  <c r="F87" i="9"/>
  <c r="F61" i="44"/>
  <c r="F104" i="21"/>
  <c r="F87" i="40" l="1"/>
  <c r="F96" i="40" s="1"/>
  <c r="G61" i="49" s="1"/>
  <c r="G77" i="40"/>
  <c r="H6" i="49" s="1"/>
  <c r="G78" i="40"/>
  <c r="G26" i="35" s="1"/>
  <c r="E96" i="21"/>
  <c r="E98" i="40"/>
  <c r="G71" i="40"/>
  <c r="G67" i="40" s="1"/>
  <c r="G58" i="40" s="1"/>
  <c r="G57" i="40" s="1"/>
  <c r="H45" i="49"/>
  <c r="E94" i="9"/>
  <c r="G77" i="9"/>
  <c r="F97" i="9"/>
  <c r="H45" i="44"/>
  <c r="G76" i="9"/>
  <c r="F100" i="21"/>
  <c r="F101" i="21" s="1"/>
  <c r="F58" i="44"/>
  <c r="F60" i="44"/>
  <c r="F59" i="44"/>
  <c r="F97" i="40"/>
  <c r="G62" i="49" s="1"/>
  <c r="F102" i="40"/>
  <c r="F62" i="44"/>
  <c r="F83" i="9"/>
  <c r="H5" i="49" l="1"/>
  <c r="E97" i="21"/>
  <c r="E99" i="40"/>
  <c r="F88" i="40" s="1"/>
  <c r="F95" i="40" s="1"/>
  <c r="G71" i="21"/>
  <c r="H42" i="44"/>
  <c r="H42" i="49"/>
  <c r="H70" i="40"/>
  <c r="F103" i="40"/>
  <c r="G60" i="49" s="1"/>
  <c r="G66" i="9"/>
  <c r="G57" i="9" s="1"/>
  <c r="G56" i="9" s="1"/>
  <c r="G92" i="40"/>
  <c r="F91" i="9"/>
  <c r="F84" i="9"/>
  <c r="F89" i="9" s="1"/>
  <c r="F92" i="9"/>
  <c r="H58" i="49" l="1"/>
  <c r="F94" i="40"/>
  <c r="G59" i="49" s="1"/>
  <c r="G87" i="40"/>
  <c r="G97" i="40" s="1"/>
  <c r="H62" i="49" s="1"/>
  <c r="H41" i="49"/>
  <c r="F93" i="40"/>
  <c r="F99" i="40" s="1"/>
  <c r="G87" i="9"/>
  <c r="H69" i="9"/>
  <c r="H41" i="44"/>
  <c r="G96" i="40"/>
  <c r="H61" i="49" s="1"/>
  <c r="F90" i="9"/>
  <c r="G102" i="40" l="1"/>
  <c r="G103" i="40" s="1"/>
  <c r="F98" i="40"/>
  <c r="F88" i="9"/>
  <c r="G97" i="9" s="1"/>
  <c r="G88" i="40"/>
  <c r="G99" i="21"/>
  <c r="F94" i="9" l="1"/>
  <c r="G94" i="40"/>
  <c r="H59" i="49" s="1"/>
  <c r="G95" i="40"/>
  <c r="H60" i="49" s="1"/>
  <c r="F93" i="9"/>
  <c r="G83" i="9"/>
  <c r="G91" i="9" s="1"/>
  <c r="G93" i="40" l="1"/>
  <c r="G92" i="9"/>
  <c r="G84" i="9"/>
  <c r="G90" i="9" s="1"/>
  <c r="E99" i="21"/>
  <c r="E104" i="21" s="1"/>
  <c r="G98" i="40" l="1"/>
  <c r="G99" i="40"/>
  <c r="G89" i="9"/>
  <c r="G88" i="9" l="1"/>
  <c r="H97" i="9" s="1"/>
  <c r="F78" i="21"/>
  <c r="G12" i="21" s="1"/>
  <c r="F59" i="21"/>
  <c r="F77" i="21" s="1"/>
  <c r="G52" i="21" l="1"/>
  <c r="H102" i="40"/>
  <c r="G50" i="21"/>
  <c r="G23" i="21" s="1"/>
  <c r="G6" i="44"/>
  <c r="G93" i="9"/>
  <c r="G94" i="9"/>
  <c r="F58" i="21"/>
  <c r="F57" i="21" s="1"/>
  <c r="H103" i="40" l="1"/>
  <c r="G79" i="21"/>
  <c r="G5" i="44"/>
  <c r="H7" i="44"/>
  <c r="G13" i="21"/>
  <c r="G18" i="35"/>
  <c r="F90" i="21"/>
  <c r="G70" i="21"/>
  <c r="H101" i="40" l="1"/>
  <c r="H36" i="40" s="1"/>
  <c r="I13" i="49" s="1"/>
  <c r="F85" i="21"/>
  <c r="F86" i="21" s="1"/>
  <c r="G60" i="21"/>
  <c r="F92" i="21" l="1"/>
  <c r="F93" i="21"/>
  <c r="F95" i="21"/>
  <c r="F94" i="21"/>
  <c r="G24" i="21"/>
  <c r="G61" i="44" l="1"/>
  <c r="H16" i="44"/>
  <c r="G104" i="21"/>
  <c r="F91" i="21"/>
  <c r="G30" i="21"/>
  <c r="H51" i="21" s="1"/>
  <c r="G33" i="21"/>
  <c r="G62" i="21" l="1"/>
  <c r="G59" i="44"/>
  <c r="G58" i="44"/>
  <c r="G60" i="44"/>
  <c r="G68" i="21"/>
  <c r="H10" i="44" s="1"/>
  <c r="H18" i="44"/>
  <c r="G59" i="21"/>
  <c r="H8" i="44"/>
  <c r="G100" i="21"/>
  <c r="G101" i="21" s="1"/>
  <c r="F97" i="21"/>
  <c r="F96" i="21"/>
  <c r="G62" i="44" s="1"/>
  <c r="G69" i="21"/>
  <c r="G77" i="21" l="1"/>
  <c r="G78" i="21"/>
  <c r="H12" i="21" s="1"/>
  <c r="G67" i="21"/>
  <c r="G58" i="21" s="1"/>
  <c r="G57" i="21" s="1"/>
  <c r="H52" i="21" l="1"/>
  <c r="H6" i="44"/>
  <c r="G19" i="35"/>
  <c r="H5" i="44"/>
  <c r="H70" i="21"/>
  <c r="G90" i="21"/>
  <c r="H50" i="21" l="1"/>
  <c r="H79" i="21"/>
  <c r="H13" i="21"/>
  <c r="H18" i="35"/>
  <c r="I7" i="44"/>
  <c r="G85" i="21"/>
  <c r="G86" i="21" s="1"/>
  <c r="H60" i="21"/>
  <c r="H23" i="21" l="1"/>
  <c r="G94" i="21"/>
  <c r="G92" i="21"/>
  <c r="G95" i="21"/>
  <c r="G93" i="21"/>
  <c r="H61" i="44" l="1"/>
  <c r="G91" i="21"/>
  <c r="H100" i="21" l="1"/>
  <c r="H59" i="44"/>
  <c r="H58" i="44"/>
  <c r="G97" i="21"/>
  <c r="G96" i="21"/>
  <c r="H62" i="44" s="1"/>
  <c r="H60" i="44"/>
  <c r="M20" i="35" l="1"/>
  <c r="I46" i="44" l="1"/>
  <c r="I36" i="9"/>
  <c r="H96" i="9" l="1"/>
  <c r="I37" i="40"/>
  <c r="J46" i="49"/>
  <c r="J36" i="9"/>
  <c r="I37" i="21"/>
  <c r="J11" i="44" s="1"/>
  <c r="J46" i="44"/>
  <c r="I48" i="49"/>
  <c r="J37" i="40" l="1"/>
  <c r="K46" i="49"/>
  <c r="J11" i="49"/>
  <c r="K36" i="9"/>
  <c r="J37" i="21"/>
  <c r="K11" i="44" s="1"/>
  <c r="I48" i="44"/>
  <c r="K46" i="44"/>
  <c r="K11" i="49" l="1"/>
  <c r="K37" i="40"/>
  <c r="L46" i="49"/>
  <c r="L36" i="9"/>
  <c r="K37" i="21"/>
  <c r="L11" i="44" s="1"/>
  <c r="L46" i="44"/>
  <c r="L11" i="49" l="1"/>
  <c r="L37" i="40"/>
  <c r="M46" i="49"/>
  <c r="M36" i="9"/>
  <c r="L37" i="21"/>
  <c r="M11" i="44" s="1"/>
  <c r="M46" i="44"/>
  <c r="M11" i="49" l="1"/>
  <c r="M37" i="40"/>
  <c r="N46" i="49"/>
  <c r="N36" i="9"/>
  <c r="M37" i="21"/>
  <c r="N11" i="44" s="1"/>
  <c r="N46" i="44"/>
  <c r="N11" i="49" l="1"/>
  <c r="N37" i="40"/>
  <c r="O46" i="49"/>
  <c r="O46" i="44"/>
  <c r="O36" i="9"/>
  <c r="N37" i="21"/>
  <c r="O11" i="44" s="1"/>
  <c r="O11" i="49" l="1"/>
  <c r="O37" i="40"/>
  <c r="P46" i="49"/>
  <c r="O37" i="21"/>
  <c r="P46" i="44"/>
  <c r="P11" i="49" l="1"/>
  <c r="S37" i="40"/>
  <c r="T11" i="49" s="1"/>
  <c r="S37" i="21"/>
  <c r="T11" i="44" s="1"/>
  <c r="T46" i="44"/>
  <c r="R37" i="21"/>
  <c r="S11" i="44" s="1"/>
  <c r="R37" i="40"/>
  <c r="S11" i="49" s="1"/>
  <c r="S46" i="44"/>
  <c r="V37" i="21"/>
  <c r="W11" i="44" s="1"/>
  <c r="V37" i="40"/>
  <c r="W11" i="49" s="1"/>
  <c r="W46" i="44"/>
  <c r="V46" i="44"/>
  <c r="U37" i="40"/>
  <c r="V11" i="49" s="1"/>
  <c r="U37" i="21"/>
  <c r="V11" i="44" s="1"/>
  <c r="W37" i="40"/>
  <c r="X11" i="49" s="1"/>
  <c r="X46" i="44"/>
  <c r="W37" i="21"/>
  <c r="X11" i="44" s="1"/>
  <c r="T37" i="21"/>
  <c r="U11" i="44" s="1"/>
  <c r="U46" i="44"/>
  <c r="T37" i="40"/>
  <c r="U11" i="49" s="1"/>
  <c r="P11" i="44"/>
  <c r="I11" i="44" l="1"/>
  <c r="H101" i="21"/>
  <c r="H99" i="21" s="1"/>
  <c r="H36" i="21" l="1"/>
  <c r="I13" i="44" l="1"/>
  <c r="T29" i="9" l="1"/>
  <c r="T61" i="9" s="1"/>
  <c r="U44" i="49" s="1"/>
  <c r="W29" i="9"/>
  <c r="W61" i="9" s="1"/>
  <c r="X44" i="49" s="1"/>
  <c r="U32" i="9"/>
  <c r="V50" i="44"/>
  <c r="X50" i="44"/>
  <c r="T32" i="9"/>
  <c r="U50" i="44"/>
  <c r="N32" i="9"/>
  <c r="K29" i="9"/>
  <c r="L29" i="9"/>
  <c r="J29" i="9"/>
  <c r="M50" i="44"/>
  <c r="P32" i="9"/>
  <c r="Q50" i="44"/>
  <c r="W50" i="44"/>
  <c r="O50" i="44"/>
  <c r="U29" i="9"/>
  <c r="U61" i="9" s="1"/>
  <c r="I29" i="9"/>
  <c r="S29" i="9"/>
  <c r="S61" i="9" s="1"/>
  <c r="T44" i="49" s="1"/>
  <c r="Q29" i="9"/>
  <c r="Q61" i="9" s="1"/>
  <c r="R44" i="49" s="1"/>
  <c r="O29" i="9"/>
  <c r="O61" i="9" s="1"/>
  <c r="P44" i="49" s="1"/>
  <c r="M32" i="9"/>
  <c r="S32" i="9"/>
  <c r="R32" i="9"/>
  <c r="S50" i="44"/>
  <c r="V29" i="9"/>
  <c r="V61" i="9" s="1"/>
  <c r="R29" i="9"/>
  <c r="R61" i="9" s="1"/>
  <c r="S44" i="49" s="1"/>
  <c r="P29" i="9"/>
  <c r="P61" i="9" s="1"/>
  <c r="Q44" i="49" s="1"/>
  <c r="N29" i="9"/>
  <c r="N61" i="9" s="1"/>
  <c r="H30" i="21"/>
  <c r="I51" i="21" s="1"/>
  <c r="M29" i="9"/>
  <c r="M61" i="9" s="1"/>
  <c r="J50" i="44"/>
  <c r="I32" i="9"/>
  <c r="K32" i="9"/>
  <c r="L50" i="44"/>
  <c r="P50" i="44"/>
  <c r="H101" i="9"/>
  <c r="R50" i="44"/>
  <c r="Q32" i="9"/>
  <c r="N58" i="9" l="1"/>
  <c r="O44" i="49"/>
  <c r="Q52" i="44"/>
  <c r="Q52" i="49"/>
  <c r="W44" i="44"/>
  <c r="W44" i="49"/>
  <c r="S52" i="44"/>
  <c r="S52" i="49"/>
  <c r="O52" i="44"/>
  <c r="O52" i="49"/>
  <c r="T52" i="44"/>
  <c r="T52" i="49"/>
  <c r="N52" i="44"/>
  <c r="N52" i="49"/>
  <c r="U52" i="44"/>
  <c r="U52" i="49"/>
  <c r="V52" i="44"/>
  <c r="V52" i="49"/>
  <c r="M58" i="9"/>
  <c r="N44" i="49"/>
  <c r="L52" i="44"/>
  <c r="L52" i="49"/>
  <c r="R52" i="44"/>
  <c r="R52" i="49"/>
  <c r="J52" i="44"/>
  <c r="J52" i="49"/>
  <c r="U58" i="9"/>
  <c r="V44" i="49"/>
  <c r="J61" i="9"/>
  <c r="L61" i="9"/>
  <c r="M44" i="49" s="1"/>
  <c r="K61" i="9"/>
  <c r="I61" i="9"/>
  <c r="J44" i="49" s="1"/>
  <c r="H61" i="9"/>
  <c r="H58" i="9" s="1"/>
  <c r="V32" i="9"/>
  <c r="O32" i="9"/>
  <c r="W32" i="9"/>
  <c r="T50" i="44"/>
  <c r="O58" i="9"/>
  <c r="P44" i="44"/>
  <c r="S44" i="44"/>
  <c r="R58" i="9"/>
  <c r="S58" i="9"/>
  <c r="T44" i="44"/>
  <c r="Q44" i="44"/>
  <c r="P58" i="9"/>
  <c r="H62" i="21"/>
  <c r="O44" i="44"/>
  <c r="V58" i="9"/>
  <c r="N50" i="44"/>
  <c r="H24" i="21"/>
  <c r="W58" i="9"/>
  <c r="X44" i="44"/>
  <c r="N44" i="44"/>
  <c r="J32" i="9"/>
  <c r="K50" i="44"/>
  <c r="V44" i="44"/>
  <c r="T58" i="9"/>
  <c r="U44" i="44"/>
  <c r="R44" i="44"/>
  <c r="Q58" i="9"/>
  <c r="I52" i="49"/>
  <c r="I50" i="44"/>
  <c r="L32" i="9"/>
  <c r="L44" i="44" l="1"/>
  <c r="L44" i="49"/>
  <c r="K44" i="44"/>
  <c r="K44" i="49"/>
  <c r="J58" i="9"/>
  <c r="K58" i="9"/>
  <c r="X52" i="44"/>
  <c r="X52" i="49"/>
  <c r="P52" i="44"/>
  <c r="P52" i="49"/>
  <c r="W52" i="44"/>
  <c r="W52" i="49"/>
  <c r="K52" i="44"/>
  <c r="K52" i="49"/>
  <c r="M52" i="44"/>
  <c r="M52" i="49"/>
  <c r="L58" i="9"/>
  <c r="M44" i="44"/>
  <c r="I44" i="44"/>
  <c r="I44" i="49"/>
  <c r="H24" i="40"/>
  <c r="H30" i="40"/>
  <c r="I51" i="40" s="1"/>
  <c r="I23" i="40" s="1"/>
  <c r="I58" i="9"/>
  <c r="J44" i="44"/>
  <c r="H87" i="9"/>
  <c r="I52" i="44"/>
  <c r="H67" i="9"/>
  <c r="I8" i="44"/>
  <c r="H59" i="21"/>
  <c r="H33" i="21"/>
  <c r="H69" i="21" s="1"/>
  <c r="I16" i="44"/>
  <c r="H104" i="21"/>
  <c r="H90" i="21" s="1"/>
  <c r="H68" i="9"/>
  <c r="I16" i="49" l="1"/>
  <c r="H76" i="9"/>
  <c r="I45" i="49"/>
  <c r="H33" i="40"/>
  <c r="H106" i="40"/>
  <c r="H83" i="9"/>
  <c r="H92" i="9" s="1"/>
  <c r="H62" i="40"/>
  <c r="I8" i="49" s="1"/>
  <c r="H66" i="9"/>
  <c r="H57" i="9" s="1"/>
  <c r="H56" i="9" s="1"/>
  <c r="I45" i="44"/>
  <c r="H77" i="9"/>
  <c r="I58" i="44"/>
  <c r="H85" i="21"/>
  <c r="H86" i="21" s="1"/>
  <c r="H68" i="21"/>
  <c r="I18" i="44"/>
  <c r="I41" i="49" l="1"/>
  <c r="H68" i="40"/>
  <c r="I10" i="49" s="1"/>
  <c r="I18" i="49"/>
  <c r="I42" i="44"/>
  <c r="I42" i="49"/>
  <c r="H69" i="40"/>
  <c r="H91" i="9"/>
  <c r="H59" i="40"/>
  <c r="H77" i="40" s="1"/>
  <c r="I6" i="49" s="1"/>
  <c r="I30" i="40"/>
  <c r="J51" i="40" s="1"/>
  <c r="J23" i="40" s="1"/>
  <c r="I24" i="40"/>
  <c r="H92" i="40"/>
  <c r="H84" i="9"/>
  <c r="H89" i="9" s="1"/>
  <c r="H78" i="40"/>
  <c r="H26" i="35" s="1"/>
  <c r="H94" i="21"/>
  <c r="I61" i="44" s="1"/>
  <c r="H95" i="21"/>
  <c r="I62" i="44" s="1"/>
  <c r="H92" i="21"/>
  <c r="I59" i="44" s="1"/>
  <c r="I69" i="9"/>
  <c r="I68" i="9"/>
  <c r="I41" i="44"/>
  <c r="H93" i="21"/>
  <c r="H67" i="21"/>
  <c r="H58" i="21" s="1"/>
  <c r="H57" i="21" s="1"/>
  <c r="I10" i="44"/>
  <c r="H78" i="21"/>
  <c r="I12" i="21" s="1"/>
  <c r="H77" i="21"/>
  <c r="I58" i="49" l="1"/>
  <c r="H90" i="9"/>
  <c r="H67" i="40"/>
  <c r="H58" i="40" s="1"/>
  <c r="H57" i="40" s="1"/>
  <c r="J16" i="49"/>
  <c r="H87" i="40"/>
  <c r="H88" i="40" s="1"/>
  <c r="H94" i="40" s="1"/>
  <c r="I59" i="49" s="1"/>
  <c r="I33" i="40"/>
  <c r="J18" i="49" s="1"/>
  <c r="I62" i="40"/>
  <c r="J8" i="49" s="1"/>
  <c r="H88" i="9"/>
  <c r="H19" i="35"/>
  <c r="I5" i="44"/>
  <c r="I70" i="21"/>
  <c r="I60" i="44"/>
  <c r="I6" i="44"/>
  <c r="H91" i="21"/>
  <c r="H96" i="21" l="1"/>
  <c r="I100" i="21"/>
  <c r="I101" i="21" s="1"/>
  <c r="I99" i="21" s="1"/>
  <c r="I5" i="49"/>
  <c r="I69" i="40"/>
  <c r="I70" i="40"/>
  <c r="H96" i="40"/>
  <c r="I61" i="49" s="1"/>
  <c r="H95" i="40"/>
  <c r="I59" i="40"/>
  <c r="J30" i="40"/>
  <c r="J24" i="40"/>
  <c r="H97" i="40"/>
  <c r="I62" i="49" s="1"/>
  <c r="I97" i="9"/>
  <c r="I98" i="9" s="1"/>
  <c r="I96" i="9" s="1"/>
  <c r="H94" i="9"/>
  <c r="H93" i="9"/>
  <c r="I18" i="35"/>
  <c r="J7" i="44"/>
  <c r="I13" i="21"/>
  <c r="I50" i="21"/>
  <c r="I60" i="21"/>
  <c r="I52" i="21"/>
  <c r="I79" i="21"/>
  <c r="H97" i="21"/>
  <c r="H93" i="40" l="1"/>
  <c r="I60" i="49"/>
  <c r="I23" i="21"/>
  <c r="K16" i="49"/>
  <c r="K51" i="40"/>
  <c r="K23" i="40" s="1"/>
  <c r="H98" i="40"/>
  <c r="H99" i="40"/>
  <c r="I102" i="40"/>
  <c r="J33" i="40"/>
  <c r="K18" i="49" s="1"/>
  <c r="J62" i="40"/>
  <c r="K8" i="49" s="1"/>
  <c r="I35" i="9"/>
  <c r="J48" i="49" s="1"/>
  <c r="I101" i="9"/>
  <c r="I87" i="9" s="1"/>
  <c r="I36" i="21"/>
  <c r="I103" i="40" l="1"/>
  <c r="J59" i="40"/>
  <c r="K30" i="40"/>
  <c r="K24" i="40"/>
  <c r="I83" i="9"/>
  <c r="I84" i="9" s="1"/>
  <c r="J48" i="44"/>
  <c r="I67" i="9"/>
  <c r="J45" i="49" s="1"/>
  <c r="J13" i="44"/>
  <c r="I24" i="21"/>
  <c r="I30" i="21"/>
  <c r="J51" i="21" s="1"/>
  <c r="L16" i="49" l="1"/>
  <c r="K62" i="40"/>
  <c r="K59" i="40" s="1"/>
  <c r="L51" i="40"/>
  <c r="L23" i="40" s="1"/>
  <c r="L24" i="40" s="1"/>
  <c r="I101" i="40"/>
  <c r="I91" i="9"/>
  <c r="I89" i="9"/>
  <c r="I92" i="9"/>
  <c r="I90" i="9"/>
  <c r="K33" i="40"/>
  <c r="L18" i="49" s="1"/>
  <c r="I66" i="9"/>
  <c r="I57" i="9" s="1"/>
  <c r="I56" i="9" s="1"/>
  <c r="I77" i="9"/>
  <c r="J45" i="44"/>
  <c r="I76" i="9"/>
  <c r="I62" i="21"/>
  <c r="I33" i="21"/>
  <c r="I69" i="21" s="1"/>
  <c r="J16" i="44"/>
  <c r="I104" i="21"/>
  <c r="J41" i="49" l="1"/>
  <c r="I88" i="9"/>
  <c r="I94" i="9" s="1"/>
  <c r="L30" i="40"/>
  <c r="L62" i="40" s="1"/>
  <c r="L59" i="40" s="1"/>
  <c r="L8" i="49"/>
  <c r="M51" i="40"/>
  <c r="M23" i="40" s="1"/>
  <c r="M16" i="49"/>
  <c r="I106" i="40"/>
  <c r="I92" i="40" s="1"/>
  <c r="J58" i="49" s="1"/>
  <c r="I36" i="40"/>
  <c r="J42" i="44"/>
  <c r="J42" i="49"/>
  <c r="L33" i="40"/>
  <c r="M18" i="49" s="1"/>
  <c r="J69" i="9"/>
  <c r="J41" i="44"/>
  <c r="J68" i="9"/>
  <c r="I90" i="21"/>
  <c r="J18" i="44"/>
  <c r="I68" i="21"/>
  <c r="J8" i="44"/>
  <c r="I59" i="21"/>
  <c r="J97" i="9" l="1"/>
  <c r="J98" i="9" s="1"/>
  <c r="J96" i="9" s="1"/>
  <c r="I93" i="9"/>
  <c r="M8" i="49"/>
  <c r="I87" i="40"/>
  <c r="I88" i="40" s="1"/>
  <c r="I94" i="40" s="1"/>
  <c r="J59" i="49" s="1"/>
  <c r="M30" i="40"/>
  <c r="M24" i="40"/>
  <c r="I85" i="21"/>
  <c r="I86" i="21" s="1"/>
  <c r="J58" i="44"/>
  <c r="J13" i="49"/>
  <c r="I68" i="40"/>
  <c r="J101" i="9"/>
  <c r="J87" i="9" s="1"/>
  <c r="J35" i="9"/>
  <c r="K48" i="49" s="1"/>
  <c r="I77" i="21"/>
  <c r="I67" i="21"/>
  <c r="I58" i="21" s="1"/>
  <c r="I57" i="21" s="1"/>
  <c r="J10" i="44"/>
  <c r="I78" i="21"/>
  <c r="J12" i="21" s="1"/>
  <c r="K12" i="21" s="1"/>
  <c r="L12" i="21" s="1"/>
  <c r="M12" i="21" s="1"/>
  <c r="I97" i="40" l="1"/>
  <c r="J62" i="49" s="1"/>
  <c r="I95" i="40"/>
  <c r="I96" i="40"/>
  <c r="J61" i="49" s="1"/>
  <c r="N16" i="49"/>
  <c r="M33" i="40"/>
  <c r="N18" i="49" s="1"/>
  <c r="N51" i="40"/>
  <c r="N23" i="40" s="1"/>
  <c r="O51" i="40"/>
  <c r="M62" i="40"/>
  <c r="I92" i="21"/>
  <c r="J59" i="44" s="1"/>
  <c r="I93" i="21"/>
  <c r="J60" i="44" s="1"/>
  <c r="I95" i="21"/>
  <c r="J62" i="44" s="1"/>
  <c r="I94" i="21"/>
  <c r="J61" i="44" s="1"/>
  <c r="J10" i="49"/>
  <c r="I67" i="40"/>
  <c r="I58" i="40" s="1"/>
  <c r="I57" i="40" s="1"/>
  <c r="I78" i="40"/>
  <c r="I26" i="35" s="1"/>
  <c r="I77" i="40"/>
  <c r="J6" i="49" s="1"/>
  <c r="K48" i="44"/>
  <c r="J67" i="9"/>
  <c r="K45" i="49" s="1"/>
  <c r="J83" i="9"/>
  <c r="J84" i="9" s="1"/>
  <c r="J70" i="21"/>
  <c r="J5" i="44"/>
  <c r="J6" i="44"/>
  <c r="I19" i="35"/>
  <c r="I93" i="40" l="1"/>
  <c r="J60" i="49"/>
  <c r="J102" i="40"/>
  <c r="I98" i="40"/>
  <c r="I99" i="40"/>
  <c r="I91" i="21"/>
  <c r="I96" i="21" s="1"/>
  <c r="J100" i="21"/>
  <c r="J101" i="21" s="1"/>
  <c r="J99" i="21" s="1"/>
  <c r="O23" i="40"/>
  <c r="P23" i="40" s="1"/>
  <c r="N30" i="40"/>
  <c r="N62" i="40" s="1"/>
  <c r="N24" i="40"/>
  <c r="N8" i="49"/>
  <c r="M59" i="40"/>
  <c r="J103" i="40"/>
  <c r="J5" i="49"/>
  <c r="J69" i="40"/>
  <c r="J70" i="40"/>
  <c r="J92" i="9"/>
  <c r="J90" i="9"/>
  <c r="J89" i="9"/>
  <c r="J91" i="9"/>
  <c r="K45" i="44"/>
  <c r="J66" i="9"/>
  <c r="J57" i="9" s="1"/>
  <c r="J56" i="9" s="1"/>
  <c r="J76" i="9"/>
  <c r="J77" i="9"/>
  <c r="I97" i="21"/>
  <c r="K41" i="49" l="1"/>
  <c r="Q23" i="40"/>
  <c r="P30" i="40"/>
  <c r="P62" i="40" s="1"/>
  <c r="N33" i="40"/>
  <c r="O18" i="49" s="1"/>
  <c r="O16" i="49"/>
  <c r="O8" i="49"/>
  <c r="N59" i="40"/>
  <c r="O24" i="40"/>
  <c r="O30" i="40"/>
  <c r="O62" i="40" s="1"/>
  <c r="P24" i="40"/>
  <c r="J101" i="40"/>
  <c r="K42" i="44"/>
  <c r="K42" i="49"/>
  <c r="J88" i="9"/>
  <c r="K97" i="9" s="1"/>
  <c r="K98" i="9" s="1"/>
  <c r="K96" i="9" s="1"/>
  <c r="K35" i="9" s="1"/>
  <c r="K41" i="44"/>
  <c r="K69" i="9"/>
  <c r="K68" i="9"/>
  <c r="J36" i="21"/>
  <c r="Q8" i="49" l="1"/>
  <c r="P59" i="40"/>
  <c r="R23" i="40"/>
  <c r="Q24" i="40"/>
  <c r="Q30" i="40"/>
  <c r="Q62" i="40" s="1"/>
  <c r="P33" i="40"/>
  <c r="Q18" i="49" s="1"/>
  <c r="Q16" i="49"/>
  <c r="O33" i="40"/>
  <c r="P18" i="49" s="1"/>
  <c r="P16" i="49"/>
  <c r="P8" i="49"/>
  <c r="O59" i="40"/>
  <c r="J106" i="40"/>
  <c r="J92" i="40" s="1"/>
  <c r="J36" i="40"/>
  <c r="J94" i="9"/>
  <c r="J93" i="9"/>
  <c r="L48" i="44"/>
  <c r="L48" i="49"/>
  <c r="K67" i="9"/>
  <c r="L45" i="49" s="1"/>
  <c r="K101" i="9"/>
  <c r="K87" i="9" s="1"/>
  <c r="K13" i="44"/>
  <c r="K58" i="49" l="1"/>
  <c r="Q33" i="40"/>
  <c r="R18" i="49" s="1"/>
  <c r="R16" i="49"/>
  <c r="S23" i="40"/>
  <c r="R24" i="40"/>
  <c r="R30" i="40"/>
  <c r="R62" i="40" s="1"/>
  <c r="R8" i="49"/>
  <c r="Q59" i="40"/>
  <c r="J68" i="40"/>
  <c r="K13" i="49"/>
  <c r="J87" i="40"/>
  <c r="J88" i="40" s="1"/>
  <c r="J95" i="40" s="1"/>
  <c r="K60" i="49" s="1"/>
  <c r="L45" i="44"/>
  <c r="K76" i="9"/>
  <c r="L42" i="44" s="1"/>
  <c r="K77" i="9"/>
  <c r="K66" i="9"/>
  <c r="K57" i="9" s="1"/>
  <c r="K56" i="9" s="1"/>
  <c r="K83" i="9"/>
  <c r="J79" i="21"/>
  <c r="D81" i="21" s="1"/>
  <c r="J13" i="21"/>
  <c r="J20" i="35"/>
  <c r="J52" i="21"/>
  <c r="J60" i="21"/>
  <c r="K7" i="44"/>
  <c r="J18" i="35"/>
  <c r="J50" i="21"/>
  <c r="J23" i="21" l="1"/>
  <c r="L41" i="49"/>
  <c r="L42" i="49"/>
  <c r="S8" i="49"/>
  <c r="R59" i="40"/>
  <c r="R33" i="40"/>
  <c r="S18" i="49" s="1"/>
  <c r="S16" i="49"/>
  <c r="T23" i="40"/>
  <c r="S30" i="40"/>
  <c r="S62" i="40" s="1"/>
  <c r="S24" i="40"/>
  <c r="J94" i="40"/>
  <c r="J97" i="40"/>
  <c r="K62" i="49" s="1"/>
  <c r="J96" i="40"/>
  <c r="K61" i="49" s="1"/>
  <c r="L41" i="44"/>
  <c r="K10" i="49"/>
  <c r="J78" i="40"/>
  <c r="J26" i="35" s="1"/>
  <c r="J67" i="40"/>
  <c r="J58" i="40" s="1"/>
  <c r="J57" i="40" s="1"/>
  <c r="J77" i="40"/>
  <c r="K6" i="49" s="1"/>
  <c r="L69" i="9"/>
  <c r="L68" i="9"/>
  <c r="K92" i="9"/>
  <c r="K84" i="9"/>
  <c r="K89" i="9" s="1"/>
  <c r="K91" i="9"/>
  <c r="J93" i="40" l="1"/>
  <c r="K59" i="49"/>
  <c r="K90" i="9"/>
  <c r="K88" i="9" s="1"/>
  <c r="L97" i="9" s="1"/>
  <c r="L98" i="9" s="1"/>
  <c r="L96" i="9" s="1"/>
  <c r="S33" i="40"/>
  <c r="T18" i="49" s="1"/>
  <c r="T16" i="49"/>
  <c r="T8" i="49"/>
  <c r="S59" i="40"/>
  <c r="U23" i="40"/>
  <c r="T24" i="40"/>
  <c r="T30" i="40"/>
  <c r="T62" i="40" s="1"/>
  <c r="K102" i="40"/>
  <c r="J98" i="40"/>
  <c r="J99" i="40"/>
  <c r="K70" i="40"/>
  <c r="K5" i="49"/>
  <c r="K69" i="40"/>
  <c r="J30" i="21"/>
  <c r="K51" i="21" s="1"/>
  <c r="J24" i="21"/>
  <c r="K94" i="9" l="1"/>
  <c r="K93" i="9"/>
  <c r="K103" i="40"/>
  <c r="V23" i="40"/>
  <c r="U24" i="40"/>
  <c r="U30" i="40"/>
  <c r="U62" i="40" s="1"/>
  <c r="U8" i="49"/>
  <c r="T59" i="40"/>
  <c r="U16" i="49"/>
  <c r="T33" i="40"/>
  <c r="U18" i="49" s="1"/>
  <c r="K101" i="40"/>
  <c r="L35" i="9"/>
  <c r="M48" i="49" s="1"/>
  <c r="L101" i="9"/>
  <c r="L87" i="9" s="1"/>
  <c r="J33" i="21"/>
  <c r="K16" i="44"/>
  <c r="J104" i="21"/>
  <c r="J62" i="21"/>
  <c r="V8" i="49" l="1"/>
  <c r="U59" i="40"/>
  <c r="U33" i="40"/>
  <c r="V18" i="49" s="1"/>
  <c r="V16" i="49"/>
  <c r="W23" i="40"/>
  <c r="V24" i="40"/>
  <c r="V30" i="40"/>
  <c r="V62" i="40" s="1"/>
  <c r="K36" i="40"/>
  <c r="K106" i="40"/>
  <c r="K92" i="40" s="1"/>
  <c r="L83" i="9"/>
  <c r="L92" i="9" s="1"/>
  <c r="M48" i="44"/>
  <c r="L67" i="9"/>
  <c r="M45" i="49" s="1"/>
  <c r="K18" i="44"/>
  <c r="J68" i="21"/>
  <c r="K8" i="44"/>
  <c r="J59" i="21"/>
  <c r="J90" i="21"/>
  <c r="J69" i="21"/>
  <c r="L58" i="49" l="1"/>
  <c r="V33" i="40"/>
  <c r="W18" i="49" s="1"/>
  <c r="W16" i="49"/>
  <c r="W30" i="40"/>
  <c r="W62" i="40" s="1"/>
  <c r="W24" i="40"/>
  <c r="V59" i="40"/>
  <c r="W8" i="49"/>
  <c r="K87" i="40"/>
  <c r="K88" i="40" s="1"/>
  <c r="K94" i="40" s="1"/>
  <c r="L59" i="49" s="1"/>
  <c r="K68" i="40"/>
  <c r="L13" i="49"/>
  <c r="L91" i="9"/>
  <c r="L90" i="9"/>
  <c r="L89" i="9"/>
  <c r="L77" i="9"/>
  <c r="M45" i="44"/>
  <c r="L76" i="9"/>
  <c r="L66" i="9"/>
  <c r="L57" i="9" s="1"/>
  <c r="L56" i="9" s="1"/>
  <c r="L84" i="9"/>
  <c r="J77" i="21"/>
  <c r="J67" i="21"/>
  <c r="J58" i="21" s="1"/>
  <c r="J57" i="21" s="1"/>
  <c r="K10" i="44"/>
  <c r="J78" i="21"/>
  <c r="J85" i="21"/>
  <c r="J86" i="21" s="1"/>
  <c r="K58" i="44"/>
  <c r="M41" i="49" l="1"/>
  <c r="X16" i="49"/>
  <c r="W33" i="40"/>
  <c r="X18" i="49" s="1"/>
  <c r="X8" i="49"/>
  <c r="W59" i="40"/>
  <c r="K97" i="40"/>
  <c r="L62" i="49" s="1"/>
  <c r="L88" i="9"/>
  <c r="L93" i="9" s="1"/>
  <c r="K95" i="40"/>
  <c r="K96" i="40"/>
  <c r="L61" i="49" s="1"/>
  <c r="K78" i="40"/>
  <c r="K26" i="35" s="1"/>
  <c r="K67" i="40"/>
  <c r="K58" i="40" s="1"/>
  <c r="K57" i="40" s="1"/>
  <c r="K77" i="40"/>
  <c r="L6" i="49" s="1"/>
  <c r="L10" i="49"/>
  <c r="M42" i="44"/>
  <c r="M42" i="49"/>
  <c r="M68" i="9"/>
  <c r="M69" i="9"/>
  <c r="M41" i="44"/>
  <c r="K5" i="44"/>
  <c r="K70" i="21"/>
  <c r="J19" i="35"/>
  <c r="K6" i="44"/>
  <c r="J94" i="21"/>
  <c r="K61" i="44" s="1"/>
  <c r="J92" i="21"/>
  <c r="K59" i="44" s="1"/>
  <c r="J95" i="21"/>
  <c r="K62" i="44" s="1"/>
  <c r="J93" i="21"/>
  <c r="K93" i="40" l="1"/>
  <c r="L60" i="49"/>
  <c r="M97" i="9"/>
  <c r="M98" i="9" s="1"/>
  <c r="M96" i="9" s="1"/>
  <c r="L94" i="9"/>
  <c r="L102" i="40"/>
  <c r="K99" i="40"/>
  <c r="K98" i="40"/>
  <c r="L5" i="49"/>
  <c r="L70" i="40"/>
  <c r="L69" i="40"/>
  <c r="K83" i="40"/>
  <c r="M101" i="9"/>
  <c r="M87" i="9" s="1"/>
  <c r="M35" i="9"/>
  <c r="N48" i="49" s="1"/>
  <c r="K60" i="44"/>
  <c r="J91" i="21"/>
  <c r="K100" i="21" s="1"/>
  <c r="L103" i="40" l="1"/>
  <c r="M67" i="9"/>
  <c r="N45" i="49" s="1"/>
  <c r="N48" i="44"/>
  <c r="M83" i="9"/>
  <c r="K101" i="21"/>
  <c r="K99" i="21" s="1"/>
  <c r="J97" i="21"/>
  <c r="J96" i="21"/>
  <c r="L101" i="40" l="1"/>
  <c r="M84" i="9"/>
  <c r="M90" i="9" s="1"/>
  <c r="M92" i="9"/>
  <c r="M91" i="9"/>
  <c r="M66" i="9"/>
  <c r="M57" i="9" s="1"/>
  <c r="M56" i="9" s="1"/>
  <c r="M76" i="9"/>
  <c r="M77" i="9"/>
  <c r="N45" i="44"/>
  <c r="K36" i="21"/>
  <c r="M89" i="9" l="1"/>
  <c r="M88" i="9" s="1"/>
  <c r="N41" i="49"/>
  <c r="L106" i="40"/>
  <c r="L92" i="40" s="1"/>
  <c r="L36" i="40"/>
  <c r="N42" i="44"/>
  <c r="N42" i="49"/>
  <c r="N41" i="44"/>
  <c r="N68" i="9"/>
  <c r="N69" i="9"/>
  <c r="L13" i="44"/>
  <c r="M58" i="49" l="1"/>
  <c r="M94" i="9"/>
  <c r="M93" i="9"/>
  <c r="N97" i="9"/>
  <c r="N98" i="9" s="1"/>
  <c r="N96" i="9" s="1"/>
  <c r="N35" i="9" s="1"/>
  <c r="O48" i="49" s="1"/>
  <c r="K50" i="21"/>
  <c r="K79" i="21"/>
  <c r="K13" i="21"/>
  <c r="K18" i="35"/>
  <c r="K52" i="21"/>
  <c r="L7" i="44"/>
  <c r="K60" i="21"/>
  <c r="M13" i="49"/>
  <c r="L68" i="40"/>
  <c r="L87" i="40"/>
  <c r="L88" i="40" s="1"/>
  <c r="L94" i="40" s="1"/>
  <c r="M59" i="49" s="1"/>
  <c r="N101" i="9"/>
  <c r="N87" i="9" s="1"/>
  <c r="K23" i="21" l="1"/>
  <c r="L97" i="40"/>
  <c r="M62" i="49" s="1"/>
  <c r="L96" i="40"/>
  <c r="M61" i="49" s="1"/>
  <c r="L95" i="40"/>
  <c r="L78" i="40"/>
  <c r="L26" i="35" s="1"/>
  <c r="M10" i="49"/>
  <c r="L77" i="40"/>
  <c r="M6" i="49" s="1"/>
  <c r="L67" i="40"/>
  <c r="L58" i="40" s="1"/>
  <c r="L57" i="40" s="1"/>
  <c r="O48" i="44"/>
  <c r="N67" i="9"/>
  <c r="O45" i="49" s="1"/>
  <c r="N83" i="9"/>
  <c r="N91" i="9" s="1"/>
  <c r="L93" i="40" l="1"/>
  <c r="M60" i="49"/>
  <c r="K24" i="21"/>
  <c r="K30" i="21"/>
  <c r="L98" i="40"/>
  <c r="M102" i="40"/>
  <c r="L99" i="40"/>
  <c r="L83" i="40"/>
  <c r="M5" i="49"/>
  <c r="M70" i="40"/>
  <c r="M69" i="40"/>
  <c r="N92" i="9"/>
  <c r="N84" i="9"/>
  <c r="N89" i="9" s="1"/>
  <c r="O45" i="44"/>
  <c r="N77" i="9"/>
  <c r="N66" i="9"/>
  <c r="N57" i="9" s="1"/>
  <c r="N56" i="9" s="1"/>
  <c r="N76" i="9"/>
  <c r="O41" i="49" l="1"/>
  <c r="N90" i="9"/>
  <c r="N88" i="9" s="1"/>
  <c r="K62" i="21"/>
  <c r="L51" i="21"/>
  <c r="L16" i="44"/>
  <c r="K33" i="21"/>
  <c r="K69" i="21" s="1"/>
  <c r="K104" i="21"/>
  <c r="M103" i="40"/>
  <c r="O42" i="44"/>
  <c r="O42" i="49"/>
  <c r="O68" i="9"/>
  <c r="O69" i="9"/>
  <c r="O41" i="44"/>
  <c r="K90" i="21" l="1"/>
  <c r="L8" i="44"/>
  <c r="K59" i="21"/>
  <c r="L18" i="44"/>
  <c r="K68" i="21"/>
  <c r="L58" i="44"/>
  <c r="K85" i="21"/>
  <c r="K86" i="21" s="1"/>
  <c r="M101" i="40"/>
  <c r="N93" i="9"/>
  <c r="O97" i="9"/>
  <c r="O98" i="9" s="1"/>
  <c r="O96" i="9" s="1"/>
  <c r="N94" i="9"/>
  <c r="K94" i="21" l="1"/>
  <c r="L61" i="44" s="1"/>
  <c r="K92" i="21"/>
  <c r="L59" i="44" s="1"/>
  <c r="K95" i="21"/>
  <c r="L62" i="44" s="1"/>
  <c r="K93" i="21"/>
  <c r="K67" i="21"/>
  <c r="K58" i="21" s="1"/>
  <c r="K57" i="21" s="1"/>
  <c r="L10" i="44"/>
  <c r="K78" i="21"/>
  <c r="K77" i="21"/>
  <c r="M36" i="40"/>
  <c r="M106" i="40"/>
  <c r="M92" i="40" s="1"/>
  <c r="O101" i="9"/>
  <c r="O87" i="9" s="1"/>
  <c r="O35" i="9"/>
  <c r="P48" i="49" s="1"/>
  <c r="N58" i="49" l="1"/>
  <c r="L6" i="44"/>
  <c r="K19" i="35"/>
  <c r="L70" i="21"/>
  <c r="L5" i="44"/>
  <c r="L60" i="44"/>
  <c r="K91" i="21"/>
  <c r="K96" i="21" s="1"/>
  <c r="M87" i="40"/>
  <c r="M88" i="40" s="1"/>
  <c r="M95" i="40" s="1"/>
  <c r="N60" i="49" s="1"/>
  <c r="N13" i="49"/>
  <c r="M68" i="40"/>
  <c r="P48" i="44"/>
  <c r="O67" i="9"/>
  <c r="P45" i="49" s="1"/>
  <c r="O83" i="9"/>
  <c r="L100" i="21" l="1"/>
  <c r="L101" i="21" s="1"/>
  <c r="L99" i="21" s="1"/>
  <c r="K97" i="21"/>
  <c r="M96" i="40"/>
  <c r="N61" i="49" s="1"/>
  <c r="M94" i="40"/>
  <c r="M97" i="40"/>
  <c r="N62" i="49" s="1"/>
  <c r="M78" i="40"/>
  <c r="M26" i="35" s="1"/>
  <c r="M67" i="40"/>
  <c r="M58" i="40" s="1"/>
  <c r="M57" i="40" s="1"/>
  <c r="N10" i="49"/>
  <c r="M77" i="40"/>
  <c r="N6" i="49" s="1"/>
  <c r="O84" i="9"/>
  <c r="O89" i="9" s="1"/>
  <c r="O91" i="9"/>
  <c r="O92" i="9"/>
  <c r="O76" i="9"/>
  <c r="O66" i="9"/>
  <c r="O57" i="9" s="1"/>
  <c r="O56" i="9" s="1"/>
  <c r="P45" i="44"/>
  <c r="O77" i="9"/>
  <c r="M93" i="40" l="1"/>
  <c r="N59" i="49"/>
  <c r="P41" i="49"/>
  <c r="O90" i="9"/>
  <c r="O88" i="9" s="1"/>
  <c r="L36" i="21"/>
  <c r="M99" i="40"/>
  <c r="N102" i="40"/>
  <c r="N103" i="40" s="1"/>
  <c r="M98" i="40"/>
  <c r="N5" i="49"/>
  <c r="N69" i="40"/>
  <c r="M83" i="40"/>
  <c r="N70" i="40"/>
  <c r="P42" i="44"/>
  <c r="P42" i="49"/>
  <c r="P41" i="44"/>
  <c r="P69" i="9"/>
  <c r="P68" i="9"/>
  <c r="M13" i="44" l="1"/>
  <c r="N101" i="40"/>
  <c r="O93" i="9"/>
  <c r="O94" i="9"/>
  <c r="P97" i="9"/>
  <c r="P98" i="9" s="1"/>
  <c r="P96" i="9" s="1"/>
  <c r="L60" i="21" l="1"/>
  <c r="L13" i="21"/>
  <c r="L52" i="21"/>
  <c r="M7" i="44"/>
  <c r="L50" i="21"/>
  <c r="L79" i="21"/>
  <c r="L18" i="35"/>
  <c r="N106" i="40"/>
  <c r="N92" i="40" s="1"/>
  <c r="N36" i="40"/>
  <c r="P35" i="9"/>
  <c r="Q48" i="49" s="1"/>
  <c r="P101" i="9"/>
  <c r="P87" i="9" s="1"/>
  <c r="O58" i="49" l="1"/>
  <c r="L23" i="21"/>
  <c r="O13" i="49"/>
  <c r="N68" i="40"/>
  <c r="N87" i="40"/>
  <c r="N97" i="40" s="1"/>
  <c r="O62" i="49" s="1"/>
  <c r="P83" i="9"/>
  <c r="Q48" i="44"/>
  <c r="P67" i="9"/>
  <c r="Q45" i="49" s="1"/>
  <c r="L30" i="21" l="1"/>
  <c r="L24" i="21"/>
  <c r="N96" i="40"/>
  <c r="O61" i="49" s="1"/>
  <c r="N88" i="40"/>
  <c r="N94" i="40" s="1"/>
  <c r="O59" i="49" s="1"/>
  <c r="O10" i="49"/>
  <c r="N77" i="40"/>
  <c r="O6" i="49" s="1"/>
  <c r="N78" i="40"/>
  <c r="N67" i="40"/>
  <c r="N58" i="40" s="1"/>
  <c r="N57" i="40" s="1"/>
  <c r="P77" i="9"/>
  <c r="Q45" i="44"/>
  <c r="P66" i="9"/>
  <c r="P57" i="9" s="1"/>
  <c r="P56" i="9" s="1"/>
  <c r="P76" i="9"/>
  <c r="P84" i="9"/>
  <c r="P89" i="9" s="1"/>
  <c r="P91" i="9"/>
  <c r="P92" i="9"/>
  <c r="N95" i="40" l="1"/>
  <c r="Q41" i="49"/>
  <c r="P90" i="9"/>
  <c r="P88" i="9" s="1"/>
  <c r="L33" i="21"/>
  <c r="L69" i="21" s="1"/>
  <c r="M16" i="44"/>
  <c r="L104" i="21"/>
  <c r="L62" i="21"/>
  <c r="M51" i="21"/>
  <c r="N83" i="40"/>
  <c r="O5" i="49"/>
  <c r="O70" i="40"/>
  <c r="O69" i="40"/>
  <c r="Q42" i="44"/>
  <c r="Q42" i="49"/>
  <c r="Q68" i="9"/>
  <c r="Q69" i="9"/>
  <c r="Q41" i="44"/>
  <c r="N93" i="40" l="1"/>
  <c r="O60" i="49"/>
  <c r="N99" i="40"/>
  <c r="O102" i="40"/>
  <c r="N98" i="40"/>
  <c r="Q97" i="9"/>
  <c r="Q98" i="9" s="1"/>
  <c r="Q96" i="9" s="1"/>
  <c r="Q101" i="9" s="1"/>
  <c r="Q87" i="9" s="1"/>
  <c r="P94" i="9"/>
  <c r="P93" i="9"/>
  <c r="M8" i="44"/>
  <c r="L59" i="21"/>
  <c r="L90" i="21"/>
  <c r="M18" i="44"/>
  <c r="L68" i="21"/>
  <c r="Q35" i="9" l="1"/>
  <c r="R48" i="49" s="1"/>
  <c r="O103" i="40"/>
  <c r="O101" i="40" s="1"/>
  <c r="M10" i="44"/>
  <c r="L67" i="21"/>
  <c r="L58" i="21" s="1"/>
  <c r="L57" i="21" s="1"/>
  <c r="L78" i="21"/>
  <c r="L77" i="21"/>
  <c r="M58" i="44"/>
  <c r="L85" i="21"/>
  <c r="L86" i="21" s="1"/>
  <c r="Q67" i="9"/>
  <c r="R45" i="49" s="1"/>
  <c r="Q83" i="9"/>
  <c r="R48" i="44"/>
  <c r="L93" i="21" l="1"/>
  <c r="M60" i="44" s="1"/>
  <c r="L92" i="21"/>
  <c r="M59" i="44" s="1"/>
  <c r="L95" i="21"/>
  <c r="M62" i="44" s="1"/>
  <c r="L94" i="21"/>
  <c r="M61" i="44" s="1"/>
  <c r="R45" i="44"/>
  <c r="Q77" i="9"/>
  <c r="Q66" i="9"/>
  <c r="Q57" i="9" s="1"/>
  <c r="Q56" i="9" s="1"/>
  <c r="R68" i="9" s="1"/>
  <c r="Q76" i="9"/>
  <c r="R42" i="49" s="1"/>
  <c r="Q92" i="9"/>
  <c r="M6" i="44"/>
  <c r="L19" i="35"/>
  <c r="M5" i="44"/>
  <c r="M70" i="21"/>
  <c r="L91" i="21"/>
  <c r="Q91" i="9"/>
  <c r="Q84" i="9"/>
  <c r="Q90" i="9" s="1"/>
  <c r="O106" i="40"/>
  <c r="O92" i="40" s="1"/>
  <c r="O36" i="40"/>
  <c r="P58" i="49" l="1"/>
  <c r="R41" i="44"/>
  <c r="R69" i="9"/>
  <c r="Q89" i="9"/>
  <c r="Q88" i="9" s="1"/>
  <c r="R97" i="9" s="1"/>
  <c r="R98" i="9" s="1"/>
  <c r="R96" i="9" s="1"/>
  <c r="R42" i="44"/>
  <c r="R41" i="49"/>
  <c r="M100" i="21"/>
  <c r="M101" i="21" s="1"/>
  <c r="M99" i="21" s="1"/>
  <c r="L96" i="21"/>
  <c r="L97" i="21"/>
  <c r="P13" i="49"/>
  <c r="O68" i="40"/>
  <c r="O87" i="40"/>
  <c r="O88" i="40" s="1"/>
  <c r="O95" i="40" s="1"/>
  <c r="P60" i="49" s="1"/>
  <c r="Q94" i="9" l="1"/>
  <c r="Q93" i="9"/>
  <c r="R35" i="9"/>
  <c r="S48" i="49" s="1"/>
  <c r="R101" i="9"/>
  <c r="R87" i="9" s="1"/>
  <c r="O94" i="40"/>
  <c r="M36" i="21"/>
  <c r="O97" i="40"/>
  <c r="P62" i="49" s="1"/>
  <c r="O96" i="40"/>
  <c r="P61" i="49" s="1"/>
  <c r="O78" i="40"/>
  <c r="O67" i="40"/>
  <c r="O58" i="40" s="1"/>
  <c r="O57" i="40" s="1"/>
  <c r="P10" i="49"/>
  <c r="O77" i="40"/>
  <c r="P6" i="49" s="1"/>
  <c r="R67" i="9"/>
  <c r="S45" i="49" s="1"/>
  <c r="S48" i="44"/>
  <c r="O93" i="40" l="1"/>
  <c r="O98" i="40" s="1"/>
  <c r="P59" i="49"/>
  <c r="R83" i="9"/>
  <c r="R91" i="9" s="1"/>
  <c r="N13" i="44"/>
  <c r="P102" i="40"/>
  <c r="P103" i="40" s="1"/>
  <c r="O99" i="40"/>
  <c r="P5" i="49"/>
  <c r="P70" i="40"/>
  <c r="P69" i="40"/>
  <c r="O83" i="40"/>
  <c r="R66" i="9"/>
  <c r="R57" i="9" s="1"/>
  <c r="R56" i="9" s="1"/>
  <c r="S45" i="44"/>
  <c r="R77" i="9"/>
  <c r="R76" i="9"/>
  <c r="R84" i="9" l="1"/>
  <c r="R89" i="9" s="1"/>
  <c r="R92" i="9"/>
  <c r="S41" i="49"/>
  <c r="R90" i="9"/>
  <c r="R88" i="9" s="1"/>
  <c r="R93" i="9" s="1"/>
  <c r="M60" i="21"/>
  <c r="M13" i="21"/>
  <c r="N7" i="44"/>
  <c r="N12" i="21"/>
  <c r="M79" i="21"/>
  <c r="M52" i="21"/>
  <c r="M18" i="35"/>
  <c r="J12" i="35" s="1"/>
  <c r="M50" i="21"/>
  <c r="P101" i="40"/>
  <c r="S42" i="44"/>
  <c r="S42" i="49"/>
  <c r="S68" i="9"/>
  <c r="S69" i="9"/>
  <c r="S41" i="44"/>
  <c r="N60" i="21" l="1"/>
  <c r="O12" i="21"/>
  <c r="N52" i="21"/>
  <c r="N79" i="21"/>
  <c r="N50" i="21"/>
  <c r="O7" i="44"/>
  <c r="N13" i="21"/>
  <c r="M23" i="21"/>
  <c r="P36" i="40"/>
  <c r="P106" i="40"/>
  <c r="P92" i="40" s="1"/>
  <c r="R94" i="9"/>
  <c r="S97" i="9"/>
  <c r="S98" i="9" s="1"/>
  <c r="S96" i="9" s="1"/>
  <c r="Q58" i="49" l="1"/>
  <c r="O60" i="21"/>
  <c r="P12" i="21"/>
  <c r="O13" i="21"/>
  <c r="P7" i="44"/>
  <c r="O79" i="21"/>
  <c r="O50" i="21"/>
  <c r="O52" i="21"/>
  <c r="M24" i="21"/>
  <c r="M30" i="21"/>
  <c r="O51" i="21" s="1"/>
  <c r="P87" i="40"/>
  <c r="P88" i="40" s="1"/>
  <c r="P95" i="40" s="1"/>
  <c r="Q60" i="49" s="1"/>
  <c r="Q13" i="49"/>
  <c r="P68" i="40"/>
  <c r="S35" i="9"/>
  <c r="T48" i="49" s="1"/>
  <c r="S101" i="9"/>
  <c r="S87" i="9" s="1"/>
  <c r="P51" i="21" l="1"/>
  <c r="M33" i="21"/>
  <c r="M69" i="21" s="1"/>
  <c r="N16" i="44"/>
  <c r="M104" i="21"/>
  <c r="P52" i="21"/>
  <c r="Q12" i="21"/>
  <c r="P79" i="21"/>
  <c r="P60" i="21"/>
  <c r="P50" i="21"/>
  <c r="P13" i="21"/>
  <c r="Q7" i="44"/>
  <c r="M62" i="21"/>
  <c r="N51" i="21"/>
  <c r="N23" i="21" s="1"/>
  <c r="P96" i="40"/>
  <c r="Q61" i="49" s="1"/>
  <c r="P97" i="40"/>
  <c r="Q62" i="49" s="1"/>
  <c r="P94" i="40"/>
  <c r="Q10" i="49"/>
  <c r="P67" i="40"/>
  <c r="P58" i="40" s="1"/>
  <c r="P57" i="40" s="1"/>
  <c r="P77" i="40"/>
  <c r="Q6" i="49" s="1"/>
  <c r="P78" i="40"/>
  <c r="S83" i="9"/>
  <c r="T48" i="44"/>
  <c r="S67" i="9"/>
  <c r="T45" i="49" s="1"/>
  <c r="P93" i="40" l="1"/>
  <c r="Q59" i="49"/>
  <c r="M90" i="21"/>
  <c r="N58" i="44" s="1"/>
  <c r="Q51" i="21"/>
  <c r="N18" i="44"/>
  <c r="M68" i="21"/>
  <c r="N30" i="21"/>
  <c r="N62" i="21" s="1"/>
  <c r="N24" i="21"/>
  <c r="Q60" i="21"/>
  <c r="R7" i="44"/>
  <c r="Q13" i="21"/>
  <c r="Q52" i="21"/>
  <c r="Q79" i="21"/>
  <c r="Q50" i="21"/>
  <c r="R12" i="21"/>
  <c r="N8" i="44"/>
  <c r="M59" i="21"/>
  <c r="O23" i="21"/>
  <c r="P23" i="21" s="1"/>
  <c r="P99" i="40"/>
  <c r="Q102" i="40"/>
  <c r="P98" i="40"/>
  <c r="Q70" i="40"/>
  <c r="Q69" i="40"/>
  <c r="Q5" i="49"/>
  <c r="P83" i="40"/>
  <c r="S90" i="9"/>
  <c r="S88" i="9" s="1"/>
  <c r="S91" i="9"/>
  <c r="S92" i="9"/>
  <c r="S77" i="9"/>
  <c r="S76" i="9"/>
  <c r="S66" i="9"/>
  <c r="S57" i="9" s="1"/>
  <c r="S56" i="9" s="1"/>
  <c r="T45" i="44"/>
  <c r="S84" i="9"/>
  <c r="S89" i="9" s="1"/>
  <c r="M85" i="21" l="1"/>
  <c r="M86" i="21" s="1"/>
  <c r="T41" i="49"/>
  <c r="M77" i="21"/>
  <c r="M93" i="21"/>
  <c r="N60" i="44" s="1"/>
  <c r="M92" i="21"/>
  <c r="N59" i="44" s="1"/>
  <c r="M95" i="21"/>
  <c r="N62" i="44" s="1"/>
  <c r="N6" i="44"/>
  <c r="M94" i="21"/>
  <c r="N61" i="44" s="1"/>
  <c r="O8" i="44"/>
  <c r="N59" i="21"/>
  <c r="N10" i="44"/>
  <c r="M67" i="21"/>
  <c r="M58" i="21" s="1"/>
  <c r="M57" i="21" s="1"/>
  <c r="M78" i="21"/>
  <c r="O24" i="21"/>
  <c r="O30" i="21"/>
  <c r="O62" i="21" s="1"/>
  <c r="S7" i="44"/>
  <c r="R52" i="21"/>
  <c r="R60" i="21"/>
  <c r="S12" i="21"/>
  <c r="R79" i="21"/>
  <c r="R13" i="21"/>
  <c r="R50" i="21"/>
  <c r="Q23" i="21"/>
  <c r="R51" i="21"/>
  <c r="P30" i="21"/>
  <c r="P62" i="21" s="1"/>
  <c r="P24" i="21"/>
  <c r="O16" i="44"/>
  <c r="N33" i="21"/>
  <c r="O18" i="44" s="1"/>
  <c r="Q103" i="40"/>
  <c r="T42" i="44"/>
  <c r="T42" i="49"/>
  <c r="S93" i="9"/>
  <c r="S94" i="9"/>
  <c r="T97" i="9"/>
  <c r="T98" i="9" s="1"/>
  <c r="T96" i="9" s="1"/>
  <c r="T68" i="9"/>
  <c r="T41" i="44"/>
  <c r="T69" i="9"/>
  <c r="M91" i="21" l="1"/>
  <c r="M96" i="21" s="1"/>
  <c r="O33" i="21"/>
  <c r="P18" i="44" s="1"/>
  <c r="P16" i="44"/>
  <c r="M97" i="21"/>
  <c r="Q8" i="44"/>
  <c r="P59" i="21"/>
  <c r="S52" i="21"/>
  <c r="S13" i="21"/>
  <c r="S79" i="21"/>
  <c r="T7" i="44"/>
  <c r="T12" i="21"/>
  <c r="S60" i="21"/>
  <c r="S50" i="21"/>
  <c r="M19" i="35"/>
  <c r="Q16" i="44"/>
  <c r="P33" i="21"/>
  <c r="Q18" i="44" s="1"/>
  <c r="Q24" i="21"/>
  <c r="Q30" i="21"/>
  <c r="Q62" i="21" s="1"/>
  <c r="P8" i="44"/>
  <c r="O59" i="21"/>
  <c r="N5" i="44"/>
  <c r="N70" i="21"/>
  <c r="N69" i="21"/>
  <c r="S51" i="21"/>
  <c r="R23" i="21"/>
  <c r="Q101" i="40"/>
  <c r="T35" i="9"/>
  <c r="U48" i="49" s="1"/>
  <c r="T101" i="9"/>
  <c r="T87" i="9" s="1"/>
  <c r="N100" i="21" l="1"/>
  <c r="N101" i="21" s="1"/>
  <c r="N99" i="21" s="1"/>
  <c r="R8" i="44"/>
  <c r="Q59" i="21"/>
  <c r="Q33" i="21"/>
  <c r="R18" i="44" s="1"/>
  <c r="R16" i="44"/>
  <c r="N104" i="21"/>
  <c r="N90" i="21" s="1"/>
  <c r="N36" i="21"/>
  <c r="R24" i="21"/>
  <c r="R30" i="21"/>
  <c r="R62" i="21" s="1"/>
  <c r="U7" i="44"/>
  <c r="T52" i="21"/>
  <c r="U12" i="21"/>
  <c r="T50" i="21"/>
  <c r="T79" i="21"/>
  <c r="T60" i="21"/>
  <c r="T13" i="21"/>
  <c r="T51" i="21"/>
  <c r="S23" i="21"/>
  <c r="Q36" i="40"/>
  <c r="Q106" i="40"/>
  <c r="Q92" i="40" s="1"/>
  <c r="T83" i="9"/>
  <c r="T67" i="9"/>
  <c r="U45" i="49" s="1"/>
  <c r="U48" i="44"/>
  <c r="R58" i="49" l="1"/>
  <c r="S24" i="21"/>
  <c r="S30" i="21"/>
  <c r="S62" i="21" s="1"/>
  <c r="S8" i="44"/>
  <c r="R59" i="21"/>
  <c r="T23" i="21"/>
  <c r="U51" i="21"/>
  <c r="U50" i="21"/>
  <c r="V12" i="21"/>
  <c r="U60" i="21"/>
  <c r="U79" i="21"/>
  <c r="U13" i="21"/>
  <c r="U52" i="21"/>
  <c r="V7" i="44"/>
  <c r="O13" i="44"/>
  <c r="N68" i="21"/>
  <c r="S16" i="44"/>
  <c r="R33" i="21"/>
  <c r="S18" i="44" s="1"/>
  <c r="N85" i="21"/>
  <c r="N86" i="21" s="1"/>
  <c r="O58" i="44"/>
  <c r="Q87" i="40"/>
  <c r="Q88" i="40" s="1"/>
  <c r="Q68" i="40"/>
  <c r="R13" i="49"/>
  <c r="T76" i="9"/>
  <c r="T66" i="9"/>
  <c r="T57" i="9" s="1"/>
  <c r="T56" i="9" s="1"/>
  <c r="T77" i="9"/>
  <c r="U45" i="44"/>
  <c r="T84" i="9"/>
  <c r="T89" i="9" s="1"/>
  <c r="T91" i="9"/>
  <c r="T90" i="9"/>
  <c r="T92" i="9"/>
  <c r="U41" i="49" l="1"/>
  <c r="T88" i="9"/>
  <c r="N94" i="21"/>
  <c r="O61" i="44" s="1"/>
  <c r="N93" i="21"/>
  <c r="O60" i="44" s="1"/>
  <c r="N95" i="21"/>
  <c r="O62" i="44" s="1"/>
  <c r="N92" i="21"/>
  <c r="V13" i="21"/>
  <c r="W7" i="44"/>
  <c r="V52" i="21"/>
  <c r="W12" i="21"/>
  <c r="V50" i="21"/>
  <c r="V60" i="21"/>
  <c r="V79" i="21"/>
  <c r="T24" i="21"/>
  <c r="T30" i="21"/>
  <c r="T62" i="21" s="1"/>
  <c r="O10" i="44"/>
  <c r="N67" i="21"/>
  <c r="N58" i="21" s="1"/>
  <c r="N57" i="21" s="1"/>
  <c r="N78" i="21"/>
  <c r="N77" i="21"/>
  <c r="U23" i="21"/>
  <c r="V51" i="21"/>
  <c r="T8" i="44"/>
  <c r="S59" i="21"/>
  <c r="T16" i="44"/>
  <c r="S33" i="21"/>
  <c r="T18" i="44" s="1"/>
  <c r="Q94" i="40"/>
  <c r="R59" i="49" s="1"/>
  <c r="Q95" i="40"/>
  <c r="R60" i="49" s="1"/>
  <c r="Q77" i="40"/>
  <c r="R6" i="49" s="1"/>
  <c r="Q78" i="40"/>
  <c r="Q67" i="40"/>
  <c r="Q58" i="40" s="1"/>
  <c r="Q57" i="40" s="1"/>
  <c r="R10" i="49"/>
  <c r="Q96" i="40"/>
  <c r="R61" i="49" s="1"/>
  <c r="Q97" i="40"/>
  <c r="R62" i="49" s="1"/>
  <c r="U42" i="44"/>
  <c r="U42" i="49"/>
  <c r="T93" i="9"/>
  <c r="T94" i="9"/>
  <c r="U97" i="9"/>
  <c r="U98" i="9" s="1"/>
  <c r="U96" i="9" s="1"/>
  <c r="U41" i="44"/>
  <c r="U69" i="9"/>
  <c r="U68" i="9"/>
  <c r="O59" i="44" l="1"/>
  <c r="N91" i="21"/>
  <c r="Q93" i="40"/>
  <c r="R102" i="40" s="1"/>
  <c r="W51" i="21"/>
  <c r="V23" i="21"/>
  <c r="O5" i="44"/>
  <c r="O69" i="21"/>
  <c r="O70" i="21"/>
  <c r="U8" i="44"/>
  <c r="T59" i="21"/>
  <c r="W52" i="21"/>
  <c r="W60" i="21"/>
  <c r="W13" i="21"/>
  <c r="W50" i="21"/>
  <c r="X7" i="44"/>
  <c r="W79" i="21"/>
  <c r="U16" i="44"/>
  <c r="T33" i="21"/>
  <c r="U18" i="44" s="1"/>
  <c r="U24" i="21"/>
  <c r="U30" i="21"/>
  <c r="U62" i="21" s="1"/>
  <c r="O6" i="44"/>
  <c r="R69" i="40"/>
  <c r="R5" i="49"/>
  <c r="R70" i="40"/>
  <c r="Q83" i="40"/>
  <c r="Q98" i="40"/>
  <c r="U101" i="9"/>
  <c r="U87" i="9" s="1"/>
  <c r="U35" i="9"/>
  <c r="V48" i="49" s="1"/>
  <c r="Q99" i="40" l="1"/>
  <c r="O100" i="21"/>
  <c r="O101" i="21" s="1"/>
  <c r="O99" i="21" s="1"/>
  <c r="N97" i="21"/>
  <c r="N96" i="21"/>
  <c r="V16" i="44"/>
  <c r="U33" i="21"/>
  <c r="V18" i="44" s="1"/>
  <c r="W23" i="21"/>
  <c r="V30" i="21"/>
  <c r="V62" i="21" s="1"/>
  <c r="V24" i="21"/>
  <c r="V8" i="44"/>
  <c r="U59" i="21"/>
  <c r="R103" i="40"/>
  <c r="V48" i="44"/>
  <c r="U67" i="9"/>
  <c r="V45" i="49" s="1"/>
  <c r="U83" i="9"/>
  <c r="O104" i="21" l="1"/>
  <c r="O90" i="21" s="1"/>
  <c r="O36" i="21"/>
  <c r="W30" i="21"/>
  <c r="W62" i="21" s="1"/>
  <c r="W24" i="21"/>
  <c r="W16" i="44"/>
  <c r="V33" i="21"/>
  <c r="W18" i="44" s="1"/>
  <c r="W8" i="44"/>
  <c r="V59" i="21"/>
  <c r="R101" i="40"/>
  <c r="U89" i="9"/>
  <c r="U92" i="9"/>
  <c r="U91" i="9"/>
  <c r="U84" i="9"/>
  <c r="U90" i="9" s="1"/>
  <c r="U77" i="9"/>
  <c r="U76" i="9"/>
  <c r="V45" i="44"/>
  <c r="U66" i="9"/>
  <c r="U57" i="9" s="1"/>
  <c r="U56" i="9" s="1"/>
  <c r="U88" i="9" l="1"/>
  <c r="V41" i="49"/>
  <c r="P13" i="44"/>
  <c r="O68" i="21"/>
  <c r="P58" i="44"/>
  <c r="O85" i="21"/>
  <c r="X16" i="44"/>
  <c r="W33" i="21"/>
  <c r="X18" i="44" s="1"/>
  <c r="X8" i="44"/>
  <c r="W59" i="21"/>
  <c r="R106" i="40"/>
  <c r="R92" i="40" s="1"/>
  <c r="R36" i="40"/>
  <c r="V42" i="44"/>
  <c r="V42" i="49"/>
  <c r="U94" i="9"/>
  <c r="V97" i="9"/>
  <c r="V98" i="9" s="1"/>
  <c r="V96" i="9" s="1"/>
  <c r="V41" i="44"/>
  <c r="V68" i="9"/>
  <c r="V69" i="9"/>
  <c r="U93" i="9"/>
  <c r="S58" i="49" l="1"/>
  <c r="O95" i="21"/>
  <c r="P62" i="44" s="1"/>
  <c r="O94" i="21"/>
  <c r="P61" i="44" s="1"/>
  <c r="O86" i="21"/>
  <c r="O93" i="21" s="1"/>
  <c r="P60" i="44" s="1"/>
  <c r="P10" i="44"/>
  <c r="O78" i="21"/>
  <c r="O77" i="21"/>
  <c r="O67" i="21"/>
  <c r="O58" i="21" s="1"/>
  <c r="O57" i="21" s="1"/>
  <c r="R68" i="40"/>
  <c r="S13" i="49"/>
  <c r="R87" i="40"/>
  <c r="R88" i="40" s="1"/>
  <c r="R95" i="40" s="1"/>
  <c r="S60" i="49" s="1"/>
  <c r="V35" i="9"/>
  <c r="W48" i="49" s="1"/>
  <c r="V101" i="9"/>
  <c r="V87" i="9" s="1"/>
  <c r="O92" i="21" l="1"/>
  <c r="P59" i="44" s="1"/>
  <c r="P69" i="21"/>
  <c r="P70" i="21"/>
  <c r="P5" i="44"/>
  <c r="P6" i="44"/>
  <c r="R94" i="40"/>
  <c r="R97" i="40"/>
  <c r="S62" i="49" s="1"/>
  <c r="R96" i="40"/>
  <c r="S61" i="49" s="1"/>
  <c r="S10" i="49"/>
  <c r="R67" i="40"/>
  <c r="R58" i="40" s="1"/>
  <c r="R57" i="40" s="1"/>
  <c r="R78" i="40"/>
  <c r="R77" i="40"/>
  <c r="S6" i="49" s="1"/>
  <c r="V83" i="9"/>
  <c r="V84" i="9" s="1"/>
  <c r="W48" i="44"/>
  <c r="V67" i="9"/>
  <c r="W45" i="49" s="1"/>
  <c r="R93" i="40" l="1"/>
  <c r="S59" i="49"/>
  <c r="O91" i="21"/>
  <c r="O96" i="21" s="1"/>
  <c r="S102" i="40"/>
  <c r="S69" i="40"/>
  <c r="R83" i="40"/>
  <c r="S70" i="40"/>
  <c r="S5" i="49"/>
  <c r="R98" i="40"/>
  <c r="R99" i="40"/>
  <c r="V91" i="9"/>
  <c r="V89" i="9"/>
  <c r="V92" i="9"/>
  <c r="V90" i="9"/>
  <c r="V76" i="9"/>
  <c r="W45" i="44"/>
  <c r="V77" i="9"/>
  <c r="V66" i="9"/>
  <c r="V57" i="9" s="1"/>
  <c r="V56" i="9" s="1"/>
  <c r="P100" i="21" l="1"/>
  <c r="P101" i="21" s="1"/>
  <c r="P99" i="21" s="1"/>
  <c r="O97" i="21"/>
  <c r="W41" i="49"/>
  <c r="S103" i="40"/>
  <c r="S101" i="40" s="1"/>
  <c r="V88" i="9"/>
  <c r="W97" i="9" s="1"/>
  <c r="W98" i="9" s="1"/>
  <c r="W96" i="9" s="1"/>
  <c r="W101" i="9" s="1"/>
  <c r="W87" i="9" s="1"/>
  <c r="W42" i="44"/>
  <c r="W42" i="49"/>
  <c r="W69" i="9"/>
  <c r="W68" i="9"/>
  <c r="W41" i="44"/>
  <c r="P36" i="21" l="1"/>
  <c r="P104" i="21"/>
  <c r="P90" i="21" s="1"/>
  <c r="V94" i="9"/>
  <c r="V93" i="9"/>
  <c r="S36" i="40"/>
  <c r="S106" i="40"/>
  <c r="S92" i="40" s="1"/>
  <c r="W35" i="9"/>
  <c r="X48" i="49" s="1"/>
  <c r="W83" i="9"/>
  <c r="W91" i="9" s="1"/>
  <c r="T58" i="49" l="1"/>
  <c r="P85" i="21"/>
  <c r="Q58" i="44"/>
  <c r="P68" i="21"/>
  <c r="Q13" i="44"/>
  <c r="X48" i="44"/>
  <c r="W67" i="9"/>
  <c r="X45" i="49" s="1"/>
  <c r="S87" i="40"/>
  <c r="S88" i="40" s="1"/>
  <c r="S68" i="40"/>
  <c r="T13" i="49"/>
  <c r="W84" i="9"/>
  <c r="W89" i="9" s="1"/>
  <c r="W92" i="9"/>
  <c r="P78" i="21" l="1"/>
  <c r="P77" i="21"/>
  <c r="P67" i="21"/>
  <c r="P58" i="21" s="1"/>
  <c r="P57" i="21" s="1"/>
  <c r="Q10" i="44"/>
  <c r="P86" i="21"/>
  <c r="P93" i="21" s="1"/>
  <c r="Q60" i="44" s="1"/>
  <c r="P94" i="21"/>
  <c r="Q61" i="44" s="1"/>
  <c r="P95" i="21"/>
  <c r="P92" i="21"/>
  <c r="W90" i="9"/>
  <c r="W88" i="9" s="1"/>
  <c r="W66" i="9"/>
  <c r="W57" i="9" s="1"/>
  <c r="W56" i="9" s="1"/>
  <c r="X41" i="44" s="1"/>
  <c r="X45" i="44"/>
  <c r="W77" i="9"/>
  <c r="W76" i="9"/>
  <c r="X42" i="44" s="1"/>
  <c r="S94" i="40"/>
  <c r="T59" i="49" s="1"/>
  <c r="S78" i="40"/>
  <c r="S67" i="40"/>
  <c r="S58" i="40" s="1"/>
  <c r="S57" i="40" s="1"/>
  <c r="S77" i="40"/>
  <c r="T6" i="49" s="1"/>
  <c r="T10" i="49"/>
  <c r="S97" i="40"/>
  <c r="T62" i="49" s="1"/>
  <c r="S95" i="40"/>
  <c r="T60" i="49" s="1"/>
  <c r="S96" i="40"/>
  <c r="T61" i="49" s="1"/>
  <c r="Q59" i="44" l="1"/>
  <c r="P91" i="21"/>
  <c r="P96" i="21" s="1"/>
  <c r="Q62" i="44"/>
  <c r="Q5" i="44"/>
  <c r="Q70" i="21"/>
  <c r="Q69" i="21"/>
  <c r="Q6" i="44"/>
  <c r="X41" i="49"/>
  <c r="X42" i="49"/>
  <c r="S93" i="40"/>
  <c r="S99" i="40" s="1"/>
  <c r="T69" i="40"/>
  <c r="T5" i="49"/>
  <c r="T70" i="40"/>
  <c r="S83" i="40"/>
  <c r="W94" i="9"/>
  <c r="W93" i="9"/>
  <c r="Q100" i="21" l="1"/>
  <c r="Q101" i="21" s="1"/>
  <c r="Q99" i="21" s="1"/>
  <c r="P97" i="21"/>
  <c r="T102" i="40"/>
  <c r="T103" i="40" s="1"/>
  <c r="S98" i="40"/>
  <c r="Q104" i="21" l="1"/>
  <c r="Q90" i="21" s="1"/>
  <c r="Q36" i="21"/>
  <c r="T101" i="40"/>
  <c r="R13" i="44" l="1"/>
  <c r="Q68" i="21"/>
  <c r="Q85" i="21"/>
  <c r="R58" i="44"/>
  <c r="T106" i="40"/>
  <c r="T92" i="40" s="1"/>
  <c r="T36" i="40"/>
  <c r="U58" i="49" l="1"/>
  <c r="Q94" i="21"/>
  <c r="R61" i="44" s="1"/>
  <c r="Q86" i="21"/>
  <c r="Q92" i="21" s="1"/>
  <c r="R59" i="44" s="1"/>
  <c r="Q95" i="21"/>
  <c r="R62" i="44" s="1"/>
  <c r="Q78" i="21"/>
  <c r="Q77" i="21"/>
  <c r="R10" i="44"/>
  <c r="Q67" i="21"/>
  <c r="Q58" i="21" s="1"/>
  <c r="Q57" i="21" s="1"/>
  <c r="Q93" i="21"/>
  <c r="R60" i="44" s="1"/>
  <c r="T68" i="40"/>
  <c r="U13" i="49"/>
  <c r="T87" i="40"/>
  <c r="R70" i="21" l="1"/>
  <c r="R69" i="21"/>
  <c r="R5" i="44"/>
  <c r="R6" i="44"/>
  <c r="Q91" i="21"/>
  <c r="T88" i="40"/>
  <c r="T95" i="40" s="1"/>
  <c r="U60" i="49" s="1"/>
  <c r="T97" i="40"/>
  <c r="U62" i="49" s="1"/>
  <c r="T96" i="40"/>
  <c r="U61" i="49" s="1"/>
  <c r="U10" i="49"/>
  <c r="T67" i="40"/>
  <c r="T58" i="40" s="1"/>
  <c r="T57" i="40" s="1"/>
  <c r="T77" i="40"/>
  <c r="T78" i="40"/>
  <c r="Q96" i="21" l="1"/>
  <c r="R100" i="21"/>
  <c r="R101" i="21" s="1"/>
  <c r="R99" i="21" s="1"/>
  <c r="Q97" i="21"/>
  <c r="T94" i="40"/>
  <c r="H13" i="35"/>
  <c r="U6" i="49"/>
  <c r="I13" i="35"/>
  <c r="U70" i="40"/>
  <c r="U69" i="40"/>
  <c r="U5" i="49"/>
  <c r="T83" i="40"/>
  <c r="T93" i="40" l="1"/>
  <c r="U102" i="40" s="1"/>
  <c r="U59" i="49"/>
  <c r="R36" i="21"/>
  <c r="R104" i="21"/>
  <c r="R90" i="21" s="1"/>
  <c r="T98" i="40"/>
  <c r="T99" i="40"/>
  <c r="K13" i="35"/>
  <c r="U103" i="40"/>
  <c r="R85" i="21" l="1"/>
  <c r="R86" i="21" s="1"/>
  <c r="R92" i="21" s="1"/>
  <c r="S59" i="44" s="1"/>
  <c r="S58" i="44"/>
  <c r="R95" i="21"/>
  <c r="S62" i="44" s="1"/>
  <c r="R94" i="21"/>
  <c r="S61" i="44" s="1"/>
  <c r="R93" i="21"/>
  <c r="S60" i="44" s="1"/>
  <c r="R68" i="21"/>
  <c r="S13" i="44"/>
  <c r="U101" i="40"/>
  <c r="R91" i="21" l="1"/>
  <c r="R96" i="21" s="1"/>
  <c r="R67" i="21"/>
  <c r="R58" i="21" s="1"/>
  <c r="R57" i="21" s="1"/>
  <c r="R78" i="21"/>
  <c r="S10" i="44"/>
  <c r="R77" i="21"/>
  <c r="U106" i="40"/>
  <c r="U92" i="40" s="1"/>
  <c r="V58" i="49" s="1"/>
  <c r="U36" i="40"/>
  <c r="S70" i="21" l="1"/>
  <c r="S5" i="44"/>
  <c r="S69" i="21"/>
  <c r="S6" i="44"/>
  <c r="R97" i="21"/>
  <c r="S100" i="21"/>
  <c r="S101" i="21" s="1"/>
  <c r="S99" i="21" s="1"/>
  <c r="U68" i="40"/>
  <c r="V13" i="49"/>
  <c r="U87" i="40"/>
  <c r="U97" i="40" s="1"/>
  <c r="V62" i="49" s="1"/>
  <c r="S104" i="21" l="1"/>
  <c r="S90" i="21" s="1"/>
  <c r="S36" i="21"/>
  <c r="U88" i="40"/>
  <c r="U94" i="40" s="1"/>
  <c r="V59" i="49" s="1"/>
  <c r="U96" i="40"/>
  <c r="V61" i="49" s="1"/>
  <c r="V10" i="49"/>
  <c r="U77" i="40"/>
  <c r="V6" i="49" s="1"/>
  <c r="U67" i="40"/>
  <c r="U58" i="40" s="1"/>
  <c r="U57" i="40" s="1"/>
  <c r="U78" i="40"/>
  <c r="T13" i="44" l="1"/>
  <c r="S68" i="21"/>
  <c r="T58" i="44"/>
  <c r="S85" i="21"/>
  <c r="S86" i="21" s="1"/>
  <c r="S93" i="21" s="1"/>
  <c r="U95" i="40"/>
  <c r="U83" i="40"/>
  <c r="V69" i="40"/>
  <c r="V70" i="40"/>
  <c r="V5" i="49"/>
  <c r="U93" i="40" l="1"/>
  <c r="V102" i="40" s="1"/>
  <c r="V60" i="49"/>
  <c r="T60" i="44"/>
  <c r="S77" i="21"/>
  <c r="T10" i="44"/>
  <c r="S78" i="21"/>
  <c r="S67" i="21"/>
  <c r="S58" i="21" s="1"/>
  <c r="S57" i="21" s="1"/>
  <c r="S92" i="21"/>
  <c r="T59" i="44" s="1"/>
  <c r="S95" i="21"/>
  <c r="T62" i="44" s="1"/>
  <c r="S94" i="21"/>
  <c r="T61" i="44" s="1"/>
  <c r="U99" i="40"/>
  <c r="U98" i="40"/>
  <c r="V103" i="40"/>
  <c r="S91" i="21" l="1"/>
  <c r="S97" i="21" s="1"/>
  <c r="T69" i="21"/>
  <c r="T70" i="21"/>
  <c r="T5" i="44"/>
  <c r="T6" i="44"/>
  <c r="S96" i="21"/>
  <c r="V101" i="40"/>
  <c r="T100" i="21" l="1"/>
  <c r="T101" i="21" s="1"/>
  <c r="V106" i="40"/>
  <c r="V92" i="40" s="1"/>
  <c r="W58" i="49" s="1"/>
  <c r="V36" i="40"/>
  <c r="T99" i="21" l="1"/>
  <c r="T36" i="21" s="1"/>
  <c r="T104" i="21"/>
  <c r="T90" i="21" s="1"/>
  <c r="T85" i="21" s="1"/>
  <c r="W13" i="49"/>
  <c r="V68" i="40"/>
  <c r="V87" i="40"/>
  <c r="U58" i="44" l="1"/>
  <c r="U13" i="44"/>
  <c r="T68" i="21"/>
  <c r="T77" i="21" s="1"/>
  <c r="T94" i="21"/>
  <c r="U61" i="44" s="1"/>
  <c r="T95" i="21"/>
  <c r="U62" i="44" s="1"/>
  <c r="U10" i="44"/>
  <c r="T67" i="21"/>
  <c r="T58" i="21" s="1"/>
  <c r="T57" i="21" s="1"/>
  <c r="T86" i="21"/>
  <c r="T93" i="21" s="1"/>
  <c r="V96" i="40"/>
  <c r="W61" i="49" s="1"/>
  <c r="V88" i="40"/>
  <c r="V94" i="40" s="1"/>
  <c r="W59" i="49" s="1"/>
  <c r="V97" i="40"/>
  <c r="W62" i="49" s="1"/>
  <c r="V67" i="40"/>
  <c r="V58" i="40" s="1"/>
  <c r="V57" i="40" s="1"/>
  <c r="W10" i="49"/>
  <c r="V77" i="40"/>
  <c r="V78" i="40"/>
  <c r="T78" i="21" l="1"/>
  <c r="T92" i="21"/>
  <c r="U59" i="44" s="1"/>
  <c r="I12" i="35"/>
  <c r="U70" i="21"/>
  <c r="U5" i="44"/>
  <c r="U69" i="21"/>
  <c r="T91" i="21"/>
  <c r="T96" i="21" s="1"/>
  <c r="U60" i="44"/>
  <c r="U6" i="44"/>
  <c r="H12" i="35"/>
  <c r="V95" i="40"/>
  <c r="W6" i="49"/>
  <c r="W70" i="40"/>
  <c r="V83" i="40"/>
  <c r="W69" i="40"/>
  <c r="W5" i="49"/>
  <c r="V93" i="40" l="1"/>
  <c r="W60" i="49"/>
  <c r="K12" i="35"/>
  <c r="V99" i="40"/>
  <c r="W102" i="40"/>
  <c r="W103" i="40" s="1"/>
  <c r="V98" i="40"/>
  <c r="U100" i="21"/>
  <c r="U101" i="21" s="1"/>
  <c r="U99" i="21" s="1"/>
  <c r="T97" i="21"/>
  <c r="U104" i="21" l="1"/>
  <c r="U90" i="21" s="1"/>
  <c r="U36" i="21"/>
  <c r="W101" i="40"/>
  <c r="V13" i="44" l="1"/>
  <c r="U68" i="21"/>
  <c r="U85" i="21"/>
  <c r="U95" i="21" s="1"/>
  <c r="V62" i="44" s="1"/>
  <c r="V58" i="44"/>
  <c r="W36" i="40"/>
  <c r="W106" i="40"/>
  <c r="W92" i="40" s="1"/>
  <c r="X58" i="49" s="1"/>
  <c r="U94" i="21" l="1"/>
  <c r="V61" i="44" s="1"/>
  <c r="U86" i="21"/>
  <c r="U93" i="21" s="1"/>
  <c r="V60" i="44" s="1"/>
  <c r="V10" i="44"/>
  <c r="U77" i="21"/>
  <c r="U78" i="21"/>
  <c r="U67" i="21"/>
  <c r="U58" i="21" s="1"/>
  <c r="U57" i="21" s="1"/>
  <c r="U92" i="21"/>
  <c r="V59" i="44" s="1"/>
  <c r="W87" i="40"/>
  <c r="W88" i="40" s="1"/>
  <c r="W95" i="40" s="1"/>
  <c r="X60" i="49" s="1"/>
  <c r="X13" i="49"/>
  <c r="W68" i="40"/>
  <c r="V70" i="21" l="1"/>
  <c r="V69" i="21"/>
  <c r="V5" i="44"/>
  <c r="V6" i="44"/>
  <c r="U91" i="21"/>
  <c r="W78" i="40"/>
  <c r="X10" i="49"/>
  <c r="W77" i="40"/>
  <c r="W67" i="40"/>
  <c r="W58" i="40" s="1"/>
  <c r="W57" i="40" s="1"/>
  <c r="W96" i="40"/>
  <c r="X61" i="49" s="1"/>
  <c r="W97" i="40"/>
  <c r="X62" i="49" s="1"/>
  <c r="W94" i="40"/>
  <c r="W93" i="40" l="1"/>
  <c r="X59" i="49"/>
  <c r="U96" i="21"/>
  <c r="U97" i="21"/>
  <c r="V100" i="21"/>
  <c r="V101" i="21" s="1"/>
  <c r="V99" i="21" s="1"/>
  <c r="X6" i="49"/>
  <c r="W98" i="40"/>
  <c r="W99" i="40"/>
  <c r="X5" i="49"/>
  <c r="W83" i="40"/>
  <c r="V36" i="21" l="1"/>
  <c r="V104" i="21"/>
  <c r="V90" i="21" s="1"/>
  <c r="W58" i="44" l="1"/>
  <c r="V85" i="21"/>
  <c r="V86" i="21" s="1"/>
  <c r="V93" i="21" s="1"/>
  <c r="W60" i="44" s="1"/>
  <c r="W13" i="44"/>
  <c r="V68" i="21"/>
  <c r="W10" i="44" l="1"/>
  <c r="V67" i="21"/>
  <c r="V58" i="21" s="1"/>
  <c r="V57" i="21" s="1"/>
  <c r="V78" i="21"/>
  <c r="V77" i="21"/>
  <c r="V92" i="21"/>
  <c r="V95" i="21"/>
  <c r="W62" i="44" s="1"/>
  <c r="V94" i="21"/>
  <c r="W61" i="44" s="1"/>
  <c r="W6" i="44" l="1"/>
  <c r="W59" i="44"/>
  <c r="V91" i="21"/>
  <c r="W69" i="21"/>
  <c r="W5" i="44"/>
  <c r="W70" i="21"/>
  <c r="V96" i="21" l="1"/>
  <c r="V97" i="21"/>
  <c r="W100" i="21"/>
  <c r="W101" i="21" s="1"/>
  <c r="W99" i="21" s="1"/>
  <c r="W36" i="21" l="1"/>
  <c r="W104" i="21"/>
  <c r="W90" i="21" s="1"/>
  <c r="W68" i="21" l="1"/>
  <c r="X13" i="44"/>
  <c r="W85" i="21"/>
  <c r="W86" i="21" s="1"/>
  <c r="W93" i="21" s="1"/>
  <c r="X58" i="44"/>
  <c r="W94" i="21" l="1"/>
  <c r="X61" i="44" s="1"/>
  <c r="W92" i="21"/>
  <c r="X59" i="44" s="1"/>
  <c r="W95" i="21"/>
  <c r="X62" i="44" s="1"/>
  <c r="X60" i="44"/>
  <c r="W67" i="21"/>
  <c r="W58" i="21" s="1"/>
  <c r="W57" i="21" s="1"/>
  <c r="X10" i="44"/>
  <c r="W77" i="21"/>
  <c r="W78" i="21"/>
  <c r="W91" i="21" l="1"/>
  <c r="W96" i="21" s="1"/>
  <c r="X6" i="44"/>
  <c r="X5" i="44"/>
  <c r="W97" i="21" l="1"/>
</calcChain>
</file>

<file path=xl/sharedStrings.xml><?xml version="1.0" encoding="utf-8"?>
<sst xmlns="http://schemas.openxmlformats.org/spreadsheetml/2006/main" count="587" uniqueCount="218">
  <si>
    <t>European Commission</t>
  </si>
  <si>
    <t>Directorate-General for Economic and Financial Affairs</t>
  </si>
  <si>
    <t>Unit C2  - Sustainability of public finances</t>
  </si>
  <si>
    <t>ECFIN-Secretariat-C2@ec.europa.eu</t>
  </si>
  <si>
    <t>FILE DESCRIPTION</t>
  </si>
  <si>
    <t>HOW TO USE THIS TOOL TO CALCULATE NEW DEBT PROJECTIONS</t>
  </si>
  <si>
    <t>The spreadsheet is composed of the following elements:</t>
  </si>
  <si>
    <t>Coloured cells indicate data sources as follows (this colour-coding holds in the other spreadsheets):</t>
  </si>
  <si>
    <r>
      <t xml:space="preserve">Cells in </t>
    </r>
    <r>
      <rPr>
        <i/>
        <sz val="11"/>
        <color rgb="FF0070C0"/>
        <rFont val="Calibri"/>
        <family val="2"/>
        <scheme val="minor"/>
      </rPr>
      <t>light orange</t>
    </r>
    <r>
      <rPr>
        <sz val="11"/>
        <color rgb="FF0070C0"/>
        <rFont val="Calibri"/>
        <family val="2"/>
        <scheme val="minor"/>
      </rPr>
      <t xml:space="preserve"> provide parameters needed to compute the decomposition of government debt according to its maturity structure (i.e. short-term and long-term debt, maturing, rolled-over and non-maturing debt). </t>
    </r>
    <r>
      <rPr>
        <b/>
        <u/>
        <sz val="11"/>
        <color rgb="FF0070C0"/>
        <rFont val="Calibri"/>
        <family val="2"/>
        <scheme val="minor"/>
      </rPr>
      <t>These are fixed shares which the user cannot change.</t>
    </r>
  </si>
  <si>
    <r>
      <t xml:space="preserve">Cells in </t>
    </r>
    <r>
      <rPr>
        <i/>
        <sz val="11"/>
        <color rgb="FF0070C0"/>
        <rFont val="Calibri"/>
        <family val="2"/>
        <scheme val="minor"/>
      </rPr>
      <t>dark orange</t>
    </r>
    <r>
      <rPr>
        <sz val="11"/>
        <color rgb="FF0070C0"/>
        <rFont val="Calibri"/>
        <family val="2"/>
        <scheme val="minor"/>
      </rPr>
      <t xml:space="preserve"> indicate financial market prices.</t>
    </r>
  </si>
  <si>
    <t>WHERE ARE THE MAIN RESULTS LOCATED?</t>
  </si>
  <si>
    <t>Country</t>
  </si>
  <si>
    <t>Financial stress scenario</t>
  </si>
  <si>
    <t>Lower SPB scenario</t>
  </si>
  <si>
    <r>
      <t xml:space="preserve">Annual adjustment </t>
    </r>
    <r>
      <rPr>
        <sz val="10"/>
        <rFont val="Arial"/>
        <family val="2"/>
      </rPr>
      <t>(change in SPB)</t>
    </r>
  </si>
  <si>
    <t>Net primary expenditure growth</t>
  </si>
  <si>
    <t>Key years</t>
  </si>
  <si>
    <t>Last year of no-fiscal-policy-change projections</t>
  </si>
  <si>
    <t>Structural primary balance</t>
  </si>
  <si>
    <t>Headline balance</t>
  </si>
  <si>
    <t>Structural balance</t>
  </si>
  <si>
    <t>Debt</t>
  </si>
  <si>
    <t>Last year of adjustment</t>
  </si>
  <si>
    <t>Key assumptions</t>
  </si>
  <si>
    <t>Fiscal assumptions (% of GDP)</t>
  </si>
  <si>
    <t/>
  </si>
  <si>
    <t>Structural primary balance ('+' means 'surplus')</t>
  </si>
  <si>
    <t>One-off and other temporary measures</t>
  </si>
  <si>
    <t>Stock-flow adjustments (without exchange rate effect)</t>
  </si>
  <si>
    <t>Stock-flow adjustment (total)</t>
  </si>
  <si>
    <t>Total ageing cost (net of taxes on pensions)</t>
  </si>
  <si>
    <t>of which: Public pensions expenditure</t>
  </si>
  <si>
    <t xml:space="preserve">            Health care expenditure</t>
  </si>
  <si>
    <t xml:space="preserve">            Long-term care expenditure</t>
  </si>
  <si>
    <t xml:space="preserve">            Education &amp; unemployment benefits expenditure</t>
  </si>
  <si>
    <t xml:space="preserve">           Taxes on pensions</t>
  </si>
  <si>
    <t>Property income</t>
  </si>
  <si>
    <t>Actual GDP</t>
  </si>
  <si>
    <t>Growth rate</t>
  </si>
  <si>
    <t>Level</t>
  </si>
  <si>
    <t>Potential GDP</t>
  </si>
  <si>
    <t>Nominal implicit interest rate on debt</t>
  </si>
  <si>
    <t>Short-term nominal interest rate</t>
  </si>
  <si>
    <t>Long-term nominal interest rate</t>
  </si>
  <si>
    <t>GDP deflator (national currency)</t>
  </si>
  <si>
    <t>Additional parameters</t>
  </si>
  <si>
    <t>Fiscal multiplier</t>
  </si>
  <si>
    <t xml:space="preserve">Carnot, N. and de Castro, F. (2015), “The Discretionary Fiscal Effort: an Assessment of Fiscal Policy and its Output Effect”, European Economy, Economic Papers, No. 543. </t>
  </si>
  <si>
    <t>Mourre, G. et al. (2019), "The Semi-Elasticities Underlying the Cyclically-Adjusted Budget Balance: An Update and Further Analysis", European Economy, Discussion Paper, No. 098.</t>
  </si>
  <si>
    <t>Bloomberg data, country-specific forward market rates.</t>
  </si>
  <si>
    <t>DSM 2023</t>
  </si>
  <si>
    <t>Share of short-term debt in total government debt</t>
  </si>
  <si>
    <t>Share of long-term debt in total government debt</t>
  </si>
  <si>
    <t>Bloomberg data, inflation swaps.</t>
  </si>
  <si>
    <t>Central bank inflation target</t>
  </si>
  <si>
    <t>Derived from the model and made consistent with the short-term forecast.</t>
  </si>
  <si>
    <t>Stock flow adjustments (without exchange rate effect)</t>
  </si>
  <si>
    <t>GDP growth assumptions</t>
  </si>
  <si>
    <t>Actual GDP (real)</t>
  </si>
  <si>
    <t xml:space="preserve">Potential GDP (real) </t>
  </si>
  <si>
    <t>Output gap</t>
  </si>
  <si>
    <t>Actual GDP (nominal, national currency)</t>
  </si>
  <si>
    <t>Interest rate</t>
  </si>
  <si>
    <t>Long-term interest rate</t>
  </si>
  <si>
    <t>Short-term interest rate</t>
  </si>
  <si>
    <t>Share of long-term debt that matures every year</t>
  </si>
  <si>
    <t>Inflation and exchange rate</t>
  </si>
  <si>
    <t>Exchange rate composite change (weighted by share of debt in each currency)</t>
  </si>
  <si>
    <t>Intermediate calculations (growth rate equation)</t>
  </si>
  <si>
    <t>Auxiliary variable to control the closure of the output gap</t>
  </si>
  <si>
    <t>OG intermediate auxiliary value</t>
  </si>
  <si>
    <t>GDP intermediate growth rate - only feedback effect and no closure of the OG</t>
  </si>
  <si>
    <t>Debt projections</t>
  </si>
  <si>
    <t xml:space="preserve">Gross debt </t>
  </si>
  <si>
    <t>Change in debt (-1+2+3)</t>
  </si>
  <si>
    <t>(1) Primary balance (1.1 + 1.2 - 1.3 -1.4 -1.5 - 1.6 -1.7)</t>
  </si>
  <si>
    <t>(1.1) Structural primary balance (before ageing cost)</t>
  </si>
  <si>
    <t>(1.2) Cumulated budgetary effort (in terms of primary balance)</t>
  </si>
  <si>
    <t>(1.3) Cyclical component</t>
  </si>
  <si>
    <t>(1.4) One-off and other temporary measures</t>
  </si>
  <si>
    <t>(1.5) Cost of ageing</t>
  </si>
  <si>
    <t>(1.6) Property incomes</t>
  </si>
  <si>
    <t>(1.7) Revenues</t>
  </si>
  <si>
    <t>(2) Snowball effect (2.1 + 2.2 + 2.3)</t>
  </si>
  <si>
    <t>(2.1) Interest expenditure</t>
  </si>
  <si>
    <t>(2.2) Growth effect</t>
  </si>
  <si>
    <t>(2.3) Inflation effect</t>
  </si>
  <si>
    <t>(2.4) Exchange rate effect linked to the interest rate</t>
  </si>
  <si>
    <t>(3 ) Stock flow adjustments (3.1 + 3.2)</t>
  </si>
  <si>
    <t>(3.1) Base</t>
  </si>
  <si>
    <t>(3.2) Adjustment due to the exchange rate effect linked to debt value</t>
  </si>
  <si>
    <t>Other budgetary variables</t>
  </si>
  <si>
    <t>Net expenditure growth</t>
  </si>
  <si>
    <t>Debt decomposition and IIR</t>
  </si>
  <si>
    <t>Auxiliary variable identifying whether debt is increasing</t>
  </si>
  <si>
    <t>Auxiliary variable identifying whether some debt is rolled over even though debt is decreasing</t>
  </si>
  <si>
    <r>
      <rPr>
        <i/>
        <sz val="8"/>
        <color theme="1"/>
        <rFont val="Arial"/>
        <family val="2"/>
      </rPr>
      <t>Of which</t>
    </r>
    <r>
      <rPr>
        <sz val="8"/>
        <color theme="1"/>
        <rFont val="Arial"/>
        <family val="2"/>
      </rPr>
      <t xml:space="preserve"> Outstanding debt</t>
    </r>
  </si>
  <si>
    <t>Rolled over long-term debt</t>
  </si>
  <si>
    <t>Rolled over short-term debt</t>
  </si>
  <si>
    <t>New long-term debt</t>
  </si>
  <si>
    <t>New short-term debt</t>
  </si>
  <si>
    <t>IIR</t>
  </si>
  <si>
    <t>Long-term implicit interest rate</t>
  </si>
  <si>
    <r>
      <t>Nominal implicit interest rate on debt (</t>
    </r>
    <r>
      <rPr>
        <b/>
        <sz val="8"/>
        <color theme="1"/>
        <rFont val="Arial"/>
        <family val="2"/>
      </rPr>
      <t>Excel approximation</t>
    </r>
    <r>
      <rPr>
        <sz val="8"/>
        <color theme="1"/>
        <rFont val="Arial"/>
        <family val="2"/>
      </rPr>
      <t>)</t>
    </r>
  </si>
  <si>
    <t>Diff. STATA</t>
  </si>
  <si>
    <t>Per memo - STATA results</t>
  </si>
  <si>
    <t>CY</t>
  </si>
  <si>
    <t>EL</t>
  </si>
  <si>
    <t>IE</t>
  </si>
  <si>
    <t>PT</t>
  </si>
  <si>
    <t>Interest rates</t>
  </si>
  <si>
    <t>GDP deflator (National currency)</t>
  </si>
  <si>
    <t>Average net primary expenditure growth</t>
  </si>
  <si>
    <t>BG</t>
  </si>
  <si>
    <r>
      <rPr>
        <i/>
        <sz val="11"/>
        <color rgb="FF0070C0"/>
        <rFont val="Calibri"/>
        <family val="2"/>
        <scheme val="minor"/>
      </rPr>
      <t>Dark grey</t>
    </r>
    <r>
      <rPr>
        <sz val="11"/>
        <color rgb="FF0070C0"/>
        <rFont val="Calibri"/>
        <family val="2"/>
        <scheme val="minor"/>
      </rPr>
      <t xml:space="preserve"> indicates the period in which the SPB, net of changes in cost of ageing, remains constant at its value of end of adjustment.</t>
    </r>
  </si>
  <si>
    <t>Table 1 - Adjustment input data</t>
  </si>
  <si>
    <r>
      <t xml:space="preserve">Cells in </t>
    </r>
    <r>
      <rPr>
        <i/>
        <sz val="11"/>
        <color rgb="FF0070C0"/>
        <rFont val="Calibri"/>
        <family val="2"/>
        <scheme val="minor"/>
      </rPr>
      <t>light grey</t>
    </r>
    <r>
      <rPr>
        <sz val="11"/>
        <color rgb="FF0070C0"/>
        <rFont val="Calibri"/>
        <family val="2"/>
        <scheme val="minor"/>
      </rPr>
      <t xml:space="preserve"> indicate Commission forecast (available in the AMECO database)</t>
    </r>
  </si>
  <si>
    <t>Last year before the adjustment</t>
  </si>
  <si>
    <t>SPB at the end of the adjustment</t>
  </si>
  <si>
    <t>Deficit below 
3% of GDP</t>
  </si>
  <si>
    <t>DSA-based criteria</t>
  </si>
  <si>
    <t>Table 2 - DSA-based criteria and deficit resilience safeguard</t>
  </si>
  <si>
    <r>
      <rPr>
        <i/>
        <sz val="11"/>
        <color rgb="FF0070C0"/>
        <rFont val="Calibri"/>
        <family val="2"/>
        <scheme val="minor"/>
      </rPr>
      <t>Light grey</t>
    </r>
    <r>
      <rPr>
        <sz val="11"/>
        <color rgb="FF0070C0"/>
        <rFont val="Calibri"/>
        <family val="2"/>
        <scheme val="minor"/>
      </rPr>
      <t xml:space="preserve"> indicates the pre-plan period, corresponding to the EC forecast</t>
    </r>
  </si>
  <si>
    <t>Without extension</t>
  </si>
  <si>
    <t>With extension</t>
  </si>
  <si>
    <t>Annual adjustment (with safeguard)</t>
  </si>
  <si>
    <t>Annual adjustment (without safeguard)</t>
  </si>
  <si>
    <t>Table 5 - Technical information*</t>
  </si>
  <si>
    <t>Table 4 - Main fiscal variables without automatic deficit resilience safeguard</t>
  </si>
  <si>
    <t>Sources</t>
  </si>
  <si>
    <t>Eurostat, average shares over the 3 last available years.</t>
  </si>
  <si>
    <t>ECB, country-specific historical average shares over the 6 last available years. For post-programme countries (CY, El , IE and PT), the redemption profile of official loans has been taken into account for the computation of the share of long-term debt that matures every year. For these countries, changing this parameter would not affect debt projections.</t>
  </si>
  <si>
    <t>IIR difference STATA - Excel</t>
  </si>
  <si>
    <t>(i - g)</t>
  </si>
  <si>
    <r>
      <t xml:space="preserve">The sheet "Input data" in light blue presents the </t>
    </r>
    <r>
      <rPr>
        <b/>
        <sz val="11"/>
        <color rgb="FF0070C0"/>
        <rFont val="Calibri"/>
        <family val="2"/>
        <scheme val="minor"/>
      </rPr>
      <t>input data</t>
    </r>
    <r>
      <rPr>
        <sz val="11"/>
        <color rgb="FF0070C0"/>
        <rFont val="Calibri"/>
        <family val="2"/>
        <scheme val="minor"/>
      </rPr>
      <t>, including fiscal and GDP growth assumptions as well as additional fiscal parameters. Unless stated otherwise below,</t>
    </r>
    <r>
      <rPr>
        <b/>
        <u/>
        <sz val="11"/>
        <color rgb="FF0070C0"/>
        <rFont val="Calibri"/>
        <family val="2"/>
        <scheme val="minor"/>
      </rPr>
      <t xml:space="preserve"> the user can change all values in this tab.</t>
    </r>
  </si>
  <si>
    <r>
      <rPr>
        <i/>
        <sz val="11"/>
        <color rgb="FF0070C0"/>
        <rFont val="Calibri"/>
        <family val="2"/>
        <scheme val="minor"/>
      </rPr>
      <t>Mild grey</t>
    </r>
    <r>
      <rPr>
        <sz val="11"/>
        <color rgb="FF0070C0"/>
        <rFont val="Calibri"/>
        <family val="2"/>
        <scheme val="minor"/>
      </rPr>
      <t xml:space="preserve"> indicates the period during which the SPB adjusts according to the path set in sheet "</t>
    </r>
    <r>
      <rPr>
        <b/>
        <sz val="11"/>
        <color rgb="FF0070C0"/>
        <rFont val="Calibri"/>
        <family val="2"/>
        <scheme val="minor"/>
      </rPr>
      <t>Criteria results</t>
    </r>
    <r>
      <rPr>
        <sz val="11"/>
        <color rgb="FF0070C0"/>
        <rFont val="Calibri"/>
        <family val="2"/>
        <scheme val="minor"/>
      </rPr>
      <t>"</t>
    </r>
  </si>
  <si>
    <t xml:space="preserve">The sheet in orange presents the scenario that automatically corrects the yearly adjustment path to account for the deficit resillience safeguard. </t>
  </si>
  <si>
    <t>Annual change in SPB</t>
  </si>
  <si>
    <t>Table 3 - Main fiscal variables with automatic deficit resilience safeguard *</t>
  </si>
  <si>
    <t>* The structural balance is flagged in red if it is below -1.5% of GDP.</t>
  </si>
  <si>
    <t>The sheet in green presents the adjustment scenarios without the deficit resilience safeguard. This scenario is computed automatically based on the yearly adjustment path set in "Criteria results" (see above).</t>
  </si>
  <si>
    <t>Within the orange sheet and each green sheet, the background of the SPB line has three colours. Each colour corresponds to a specific period of the projections:</t>
  </si>
  <si>
    <t xml:space="preserve">The next spreadsheets present the no-fiscal-policy-change baseline and the adjustment scenario, with and without the impact of the deficit resilience safeguard. Each deterministic projection provides a single path for debt until 2038 or 2041 under certain assumptions for budgetary, macroeconomic and financial variables. 
</t>
  </si>
  <si>
    <t>Deficit resilience 
safeguard</t>
  </si>
  <si>
    <t>Debt decreasing? (For criterion 1)</t>
  </si>
  <si>
    <t>Table 7a: Debt and headline balance projections and key underlying assumptions (under the planned fiscal path)</t>
  </si>
  <si>
    <t>Gross debt</t>
  </si>
  <si>
    <t>(% GDP)</t>
  </si>
  <si>
    <t>General government balance</t>
  </si>
  <si>
    <t>(% pot. GDP)</t>
  </si>
  <si>
    <t>Cyclical component</t>
  </si>
  <si>
    <t>One-off measures</t>
  </si>
  <si>
    <t>Interest expenditure</t>
  </si>
  <si>
    <t>(%)</t>
  </si>
  <si>
    <t>Implicit average interest rate</t>
  </si>
  <si>
    <t>Stock-flow adjustment</t>
  </si>
  <si>
    <t>(growth rate)</t>
  </si>
  <si>
    <t>Real GDP</t>
  </si>
  <si>
    <t>GDP deflator</t>
  </si>
  <si>
    <t>Nominal GDP</t>
  </si>
  <si>
    <t>Table 7b: Debt projections and key stressed variables, deterministic scenarios and stochastic simulations</t>
  </si>
  <si>
    <t>Adverse 'r-g' scenario</t>
  </si>
  <si>
    <t>Stochastic simulations</t>
  </si>
  <si>
    <t>Probability of debt being below its value in T+4/7</t>
  </si>
  <si>
    <t>Table 7c: Debt and headline balance projections and underlying assumptions (under 'no-fiscal-policy-change' baseline)</t>
  </si>
  <si>
    <t>Table 7d: Debt projections and additional assumptions (under the planned fiscal path)</t>
  </si>
  <si>
    <t>line</t>
  </si>
  <si>
    <t>approximation</t>
  </si>
  <si>
    <r>
      <t>This file contains a simplified version of the EC model used to calculate the general governement debt ratio dynamics for EU countries under different scenarios. A detailed description of the EC's general govern</t>
    </r>
    <r>
      <rPr>
        <strike/>
        <sz val="11"/>
        <color rgb="FF0070C0"/>
        <rFont val="Calibri"/>
        <family val="2"/>
        <scheme val="minor"/>
      </rPr>
      <t>e</t>
    </r>
    <r>
      <rPr>
        <sz val="11"/>
        <color rgb="FF0070C0"/>
        <rFont val="Calibri"/>
        <family val="2"/>
        <scheme val="minor"/>
      </rPr>
      <t>ment debt projections can be found</t>
    </r>
    <r>
      <rPr>
        <b/>
        <sz val="11"/>
        <color rgb="FF0070C0"/>
        <rFont val="Calibri"/>
        <family val="2"/>
        <scheme val="minor"/>
      </rPr>
      <t xml:space="preserve"> in the "</t>
    </r>
    <r>
      <rPr>
        <b/>
        <u/>
        <sz val="11"/>
        <color rgb="FF0070C0"/>
        <rFont val="Calibri"/>
        <family val="2"/>
        <scheme val="minor"/>
      </rPr>
      <t>Debt Sustainability Monitor 2023" (DSM, March 2024)</t>
    </r>
    <r>
      <rPr>
        <b/>
        <sz val="11"/>
        <color rgb="FF0070C0"/>
        <rFont val="Calibri"/>
        <family val="2"/>
        <scheme val="minor"/>
      </rPr>
      <t xml:space="preserve">. </t>
    </r>
  </si>
  <si>
    <r>
      <t xml:space="preserve">Cells in </t>
    </r>
    <r>
      <rPr>
        <i/>
        <sz val="11"/>
        <color rgb="FF0070C0"/>
        <rFont val="Calibri"/>
        <family val="2"/>
        <scheme val="minor"/>
      </rPr>
      <t>light blue</t>
    </r>
    <r>
      <rPr>
        <sz val="11"/>
        <color rgb="FF0070C0"/>
        <rFont val="Calibri"/>
        <family val="2"/>
        <scheme val="minor"/>
      </rPr>
      <t xml:space="preserve"> indicate values from the Ageing Report 2024</t>
    </r>
  </si>
  <si>
    <t>Non coloured parameters in cells C50:C70 were calibrated based on different data sources. Data sources are given in corresponding cells of column E.</t>
  </si>
  <si>
    <t xml:space="preserve">Share of primary expenditure in GDP in 2024 </t>
  </si>
  <si>
    <t>Long-term nominal interest rate (T+10 convergence value)</t>
  </si>
  <si>
    <t>Short-term nominal interest rate (T+10 convergence value)</t>
  </si>
  <si>
    <t>Long-term nominal interest rate (T+30 convergence value)</t>
  </si>
  <si>
    <t>Short-term nominal interest rate (T+30 convergence value)</t>
  </si>
  <si>
    <t>Share of long-term debt that matures every year (T+10 convergence value)</t>
  </si>
  <si>
    <t>GDP deflator (national currency) (T+10 convergence value)</t>
  </si>
  <si>
    <t>GDP deflator (national currency) (T+30 convergence value)</t>
  </si>
  <si>
    <t>1.</t>
  </si>
  <si>
    <t>2.</t>
  </si>
  <si>
    <t>Budget balance semi-elasticity</t>
  </si>
  <si>
    <r>
      <t>The grey sheet "</t>
    </r>
    <r>
      <rPr>
        <b/>
        <sz val="11"/>
        <color rgb="FF0070C0"/>
        <rFont val="Calibri"/>
        <family val="2"/>
        <scheme val="minor"/>
      </rPr>
      <t>Criteria results</t>
    </r>
    <r>
      <rPr>
        <sz val="11"/>
        <color rgb="FF0070C0"/>
        <rFont val="Calibri"/>
        <family val="2"/>
        <scheme val="minor"/>
      </rPr>
      <t>" contains three types of cells identified by different colours:</t>
    </r>
  </si>
  <si>
    <t>Cost of ageing and selected public revenue (based on the Commission-Council 2024 Ageing Report ("AR 2024"))</t>
  </si>
  <si>
    <t>Number of years of adjustment</t>
  </si>
  <si>
    <r>
      <t xml:space="preserve">Cells with a </t>
    </r>
    <r>
      <rPr>
        <i/>
        <sz val="11"/>
        <color rgb="FF0070C0"/>
        <rFont val="Calibri"/>
        <family val="2"/>
        <scheme val="minor"/>
      </rPr>
      <t>yellow background and a red frame</t>
    </r>
    <r>
      <rPr>
        <sz val="11"/>
        <color rgb="FF0070C0"/>
        <rFont val="Calibri"/>
        <family val="2"/>
        <scheme val="minor"/>
      </rPr>
      <t xml:space="preserve"> can be modified to see the impact of a different duration or pace of adjustment.</t>
    </r>
  </si>
  <si>
    <r>
      <t xml:space="preserve">Cells with a </t>
    </r>
    <r>
      <rPr>
        <i/>
        <sz val="11"/>
        <color rgb="FF0070C0"/>
        <rFont val="Calibri"/>
        <family val="2"/>
        <scheme val="minor"/>
      </rPr>
      <t>pale blue background</t>
    </r>
    <r>
      <rPr>
        <sz val="11"/>
        <color rgb="FF0070C0"/>
        <rFont val="Calibri"/>
        <family val="2"/>
        <scheme val="minor"/>
      </rPr>
      <t xml:space="preserve"> correspond to the Commission's prior guidance provided to the Member State. Those are hard numbers that do not depend on the adjustment chosen in the file.</t>
    </r>
  </si>
  <si>
    <t>Subject to an excessive deficit procedure (EDP) (0-no/1-yes)</t>
  </si>
  <si>
    <r>
      <t>This tool can be used to calculate debt projections under different macroeconomic and structural primary balance adjustment assumptions. Debt projections for each scenario will update automatically with changes in the macroeconomic assumptions or the adjustment parameters. The fulfilment of DSA-based criteria, the safeguards and the benchmark will be automatically calculated in the sheet "</t>
    </r>
    <r>
      <rPr>
        <b/>
        <sz val="11"/>
        <color rgb="FF0070C0"/>
        <rFont val="Calibri"/>
        <family val="2"/>
        <scheme val="minor"/>
      </rPr>
      <t>Criteria results</t>
    </r>
    <r>
      <rPr>
        <sz val="11"/>
        <color rgb="FF0070C0"/>
        <rFont val="Calibri"/>
        <family val="2"/>
        <scheme val="minor"/>
      </rPr>
      <t>".
Formulas are fully visible. To assess the impact of alternative fiscal paths or to check the robustness of underlying macroeconomic assumptions, the user can modify the content of key cells in the sheets "</t>
    </r>
    <r>
      <rPr>
        <b/>
        <sz val="11"/>
        <color rgb="FF0070C0"/>
        <rFont val="Calibri"/>
        <family val="2"/>
        <scheme val="minor"/>
      </rPr>
      <t>Criteria results</t>
    </r>
    <r>
      <rPr>
        <sz val="11"/>
        <color rgb="FF0070C0"/>
        <rFont val="Calibri"/>
        <family val="2"/>
        <scheme val="minor"/>
      </rPr>
      <t>" and "</t>
    </r>
    <r>
      <rPr>
        <b/>
        <sz val="11"/>
        <color rgb="FF0070C0"/>
        <rFont val="Calibri"/>
        <family val="2"/>
        <scheme val="minor"/>
      </rPr>
      <t>Input data</t>
    </r>
    <r>
      <rPr>
        <sz val="11"/>
        <color rgb="FF0070C0"/>
        <rFont val="Calibri"/>
        <family val="2"/>
        <scheme val="minor"/>
      </rPr>
      <t>" (see below).
Note that, for a proper functioning of the file, you should make sure that Excel is in "Automatic" computation mode, i.e. in the File menu, Option tab, click on "Formulas", "Calculation Options" and "Automatic".</t>
    </r>
  </si>
  <si>
    <r>
      <t xml:space="preserve">Cells with a </t>
    </r>
    <r>
      <rPr>
        <i/>
        <sz val="11"/>
        <color rgb="FF0070C0"/>
        <rFont val="Calibri"/>
        <family val="2"/>
        <scheme val="minor"/>
      </rPr>
      <t xml:space="preserve">white or pale red (in case the deficit resilience safeguard is binding) background </t>
    </r>
    <r>
      <rPr>
        <sz val="11"/>
        <color rgb="FF0070C0"/>
        <rFont val="Calibri"/>
        <family val="2"/>
        <scheme val="minor"/>
      </rPr>
      <t>provide results obtained with the adjustment chosen in the yellow cells. To replicate the Commission's calculations, the underlying formulas should not be modified.</t>
    </r>
  </si>
  <si>
    <r>
      <t>The fullfilment of the criteria is checked in the sheet "</t>
    </r>
    <r>
      <rPr>
        <b/>
        <sz val="11"/>
        <color rgb="FF0070C0"/>
        <rFont val="Calibri"/>
        <family val="2"/>
        <scheme val="minor"/>
      </rPr>
      <t>Criteria results</t>
    </r>
    <r>
      <rPr>
        <sz val="11"/>
        <color rgb="FF0070C0"/>
        <rFont val="Calibri"/>
        <family val="2"/>
        <scheme val="minor"/>
      </rPr>
      <t xml:space="preserve">".
Debt projections can be found in line 57 of each scenario. </t>
    </r>
  </si>
  <si>
    <t>The 'FASTOP reporting' sheet in violet provides help for preparing reporting tables. It readily provides all the tables foreseen by the guidance notice on the "Information Requirements for the Medium-Term Fiscal-Structural Plans" once the parameters are set in the rest of this file.
This sheet is meant to be an assistance. The need for a thorough scrutiny of the figures before submitting such tables remains.</t>
  </si>
  <si>
    <t>* Under a plan without (with) extension, an adjustment of 0.40 pp. (0.25 pp.) of GDP in SPB terms is applied if the structural deficit in the previous year exceeds 1.5% of GDP.</t>
  </si>
  <si>
    <t>* The technical information provides the structural primary balance necessary to ensure that the deficit remains below 3% of GDP and debt remains below 60% of GDP over the medium term in the absence of additional fiscal measures beyond the adjustment period.  In line with the deficit resilience safeguard, and when necessary, an adjustment of 0.4 pp of GDP (0.25 pp. in case of extension) in structural primary terms is applied until the structural balance is at least equal to -1.5% of GDP. Note that the SPB at the end of the adjustment period may be lower than the SPB at the beginning of the plan, indicating that the Member State does not need to adjust.</t>
  </si>
  <si>
    <t>Table 2 "DSA-based criteria and deficit resilience safeguard" reports whether the chosen adjustment fulfils the DSA-based criteria (cells H12:I13) and whether the deficit resillience safeguard is binding.</t>
  </si>
  <si>
    <r>
      <t xml:space="preserve">Table 3 "Main fiscal variables with automatic deficit resilience safeguard" reports the annual adjustment over the adjustment period, in terms of change in SPB (line 18), level of the structural balance (line 19) and SPB level at the end of the adjustment (line 20). This table reports the results for the scenario that </t>
    </r>
    <r>
      <rPr>
        <i/>
        <sz val="11"/>
        <color rgb="FF0070C0"/>
        <rFont val="Calibri"/>
        <family val="2"/>
        <scheme val="minor"/>
      </rPr>
      <t>automatically applies the deficit resillience safeguard</t>
    </r>
    <r>
      <rPr>
        <sz val="11"/>
        <color rgb="FF0070C0"/>
        <rFont val="Calibri"/>
        <family val="2"/>
        <scheme val="minor"/>
      </rPr>
      <t>. For this reason, the SB is highlighted in red if it is lower than -1.5% of GDP.</t>
    </r>
  </si>
  <si>
    <r>
      <t xml:space="preserve">Table 4 "Main fiscal variables without automatic deficit resilience safeguard" reports the annual adjustment over the adjustment period, in terms of change in SPB (line 25), level of the structural balance (line 26) and SPB level at the end of the adjustment (line 27). This table reports the results for the scenario </t>
    </r>
    <r>
      <rPr>
        <i/>
        <sz val="11"/>
        <color rgb="FF0070C0"/>
        <rFont val="Calibri"/>
        <family val="2"/>
        <scheme val="minor"/>
      </rPr>
      <t>without the deficit resillience safeguard</t>
    </r>
    <r>
      <rPr>
        <sz val="11"/>
        <color rgb="FF0070C0"/>
        <rFont val="Calibri"/>
        <family val="2"/>
        <scheme val="minor"/>
      </rPr>
      <t>.</t>
    </r>
  </si>
  <si>
    <t>Table 5 "Technical information" reports the SPB level at the end of the adjustment period that fulfils the DSA-based criteria and takes into account the deficit resilience safeguard, both without and with extension.</t>
  </si>
  <si>
    <r>
      <t>"</t>
    </r>
    <r>
      <rPr>
        <b/>
        <sz val="11"/>
        <color rgb="FF0070C0"/>
        <rFont val="Calibri"/>
        <family val="2"/>
        <scheme val="minor"/>
      </rPr>
      <t>Criteria results</t>
    </r>
    <r>
      <rPr>
        <sz val="11"/>
        <color rgb="FF0070C0"/>
        <rFont val="Calibri"/>
        <family val="2"/>
        <scheme val="minor"/>
      </rPr>
      <t xml:space="preserve">" contains five tables.
Table 1 "Adjustment input data": the user can set the duration of the plan in cell F5 (4 years without extension or 7 years with extension), the yearly adjustment pace under the scenario that does not take into account the deficit resilience safeguard (F7) and for the scenario that automatically applies that safeguard (F6). Note that the country cell (F4) cannot be changed. 
</t>
    </r>
  </si>
  <si>
    <t>The adjustement in F7 needs to be selected first so that the message on line 13 signals that the two DSA-based criteria are fulfilled. As a second step, the adjustment in F6 can be selected (and cannot be lower than in F7) so that line 12 reports compliance with the requirements.</t>
  </si>
  <si>
    <t>Adjustment scenario with automatic deficit resilience safeguard *
(sheet "Adjustment scenario")</t>
  </si>
  <si>
    <t>Adjustment scenario without deficit resilience safeguard
(sheet "Adjust. no safeguard")</t>
  </si>
  <si>
    <t>AF24</t>
  </si>
  <si>
    <t>Share of outstanding debt in total debt in 2023</t>
  </si>
  <si>
    <t>Share of rolled-over long-term debt in 2023</t>
  </si>
  <si>
    <t>Share of rolled-over short-term debt in 2023</t>
  </si>
  <si>
    <t>Share of new long-term debt in 2023</t>
  </si>
  <si>
    <t>Share of new short-term debt in 2023</t>
  </si>
  <si>
    <r>
      <t xml:space="preserve">Data reported in this file are based on the </t>
    </r>
    <r>
      <rPr>
        <i/>
        <sz val="11"/>
        <color rgb="FF0070C0"/>
        <rFont val="Calibri"/>
        <family val="2"/>
        <scheme val="minor"/>
      </rPr>
      <t>European Commission (EC) 2024 autumn forecast</t>
    </r>
    <r>
      <rPr>
        <sz val="11"/>
        <color rgb="FF0070C0"/>
        <rFont val="Calibri"/>
        <family val="2"/>
        <scheme val="minor"/>
      </rPr>
      <t xml:space="preserve"> </t>
    </r>
    <r>
      <rPr>
        <i/>
        <sz val="11"/>
        <color rgb="FF0070C0"/>
        <rFont val="Calibri"/>
        <family val="2"/>
        <scheme val="minor"/>
      </rPr>
      <t>(AF 2024)</t>
    </r>
    <r>
      <rPr>
        <sz val="11"/>
        <color rgb="FF0070C0"/>
        <rFont val="Calibri"/>
        <family val="2"/>
        <scheme val="minor"/>
      </rPr>
      <t xml:space="preserve"> and macroeconomic and budgetary projections from the joint </t>
    </r>
    <r>
      <rPr>
        <i/>
        <sz val="11"/>
        <color rgb="FF0070C0"/>
        <rFont val="Calibri"/>
        <family val="2"/>
        <scheme val="minor"/>
      </rPr>
      <t>EC-EPC Ageing Report 2024 (AR 2024)</t>
    </r>
    <r>
      <rPr>
        <sz val="11"/>
        <color rgb="FF0070C0"/>
        <rFont val="Calibri"/>
        <family val="2"/>
        <scheme val="minor"/>
      </rPr>
      <t xml:space="preserve">. </t>
    </r>
    <r>
      <rPr>
        <b/>
        <sz val="11"/>
        <color rgb="FF0070C0"/>
        <rFont val="Calibri"/>
        <family val="2"/>
        <scheme val="minor"/>
      </rPr>
      <t xml:space="preserve">
</t>
    </r>
  </si>
  <si>
    <t>The sheet in blue provides, as a reference, the baseline no-fiscal-policy-change scenario. The background colour coding is the same as in the sheet "Input data".</t>
  </si>
  <si>
    <t>Key fiscal variables (based on the Commission 2024 autumn forecast ("AF 2024") T+2 forecast</t>
  </si>
  <si>
    <t>Real GDP growth assumptions (based on AF 2024 T+10 projections and AR 2024 projections)</t>
  </si>
  <si>
    <t>Interest rates (AF 2024, %)</t>
  </si>
  <si>
    <t>Inflation (AF 2024, %)</t>
  </si>
  <si>
    <t>Net primary expenditure growth (AF 2024, %)</t>
  </si>
  <si>
    <t>No extension (annual adjustment of 0)</t>
  </si>
  <si>
    <t>Extension (annual adjustment of 0.06)</t>
  </si>
  <si>
    <t>Level (EUR bn)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</si>
</sst>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0"/>
    <numFmt numFmtId="165" formatCode="0.0"/>
    <numFmt numFmtId="166" formatCode="0.000"/>
    <numFmt numFmtId="167" formatCode="0.00000"/>
    <numFmt numFmtId="168" formatCode="0.000000"/>
    <numFmt numFmtId="169" formatCode="0.0000000"/>
    <numFmt numFmtId="170" formatCode="0.00000000"/>
  </numFmts>
  <fonts count="44"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theme="1"/>
      <name val="Arial"/>
      <family val="2"/>
    </font>
    <font>
      <i/>
      <sz val="8"/>
      <color theme="1"/>
      <name val="Arial"/>
      <family val="2"/>
    </font>
    <font>
      <b/>
      <sz val="8"/>
      <color theme="1"/>
      <name val="Arial"/>
      <family val="2"/>
    </font>
    <font>
      <b/>
      <sz val="8"/>
      <name val="Arial"/>
      <family val="2"/>
    </font>
    <font>
      <i/>
      <sz val="8"/>
      <name val="Arial"/>
      <family val="2"/>
    </font>
    <font>
      <b/>
      <i/>
      <sz val="8"/>
      <name val="Arial"/>
      <family val="2"/>
    </font>
    <font>
      <sz val="8"/>
      <name val="Arial"/>
      <family val="2"/>
    </font>
    <font>
      <b/>
      <sz val="8"/>
      <color rgb="FF002060"/>
      <name val="Arial"/>
      <family val="2"/>
    </font>
    <font>
      <b/>
      <sz val="10"/>
      <color theme="1"/>
      <name val="Arial"/>
      <family val="2"/>
    </font>
    <font>
      <u/>
      <sz val="11"/>
      <color theme="10"/>
      <name val="Calibri"/>
      <family val="2"/>
      <scheme val="minor"/>
    </font>
    <font>
      <b/>
      <sz val="10"/>
      <color theme="0"/>
      <name val="Arial"/>
      <family val="2"/>
    </font>
    <font>
      <b/>
      <sz val="8"/>
      <color rgb="FF0070C0"/>
      <name val="Arial"/>
      <family val="2"/>
    </font>
    <font>
      <sz val="8"/>
      <color theme="0"/>
      <name val="Arial"/>
      <family val="2"/>
    </font>
    <font>
      <sz val="10"/>
      <color theme="0"/>
      <name val="Arial"/>
      <family val="2"/>
    </font>
    <font>
      <i/>
      <sz val="10"/>
      <color theme="1"/>
      <name val="Arial"/>
      <family val="2"/>
    </font>
    <font>
      <sz val="8"/>
      <color rgb="FF002060"/>
      <name val="Arial"/>
      <family val="2"/>
    </font>
    <font>
      <b/>
      <i/>
      <sz val="10"/>
      <color theme="0"/>
      <name val="Arial"/>
      <family val="2"/>
    </font>
    <font>
      <b/>
      <sz val="11"/>
      <color theme="0"/>
      <name val="Calibri"/>
      <family val="2"/>
      <scheme val="minor"/>
    </font>
    <font>
      <sz val="11"/>
      <color rgb="FF0070C0"/>
      <name val="Calibri"/>
      <family val="2"/>
      <scheme val="minor"/>
    </font>
    <font>
      <b/>
      <sz val="11"/>
      <color rgb="FF0070C0"/>
      <name val="Calibri"/>
      <family val="2"/>
      <scheme val="minor"/>
    </font>
    <font>
      <u/>
      <sz val="11"/>
      <color rgb="FF0070C0"/>
      <name val="Calibri"/>
      <family val="2"/>
      <scheme val="minor"/>
    </font>
    <font>
      <i/>
      <sz val="11"/>
      <color rgb="FF0070C0"/>
      <name val="Calibri"/>
      <family val="2"/>
      <scheme val="minor"/>
    </font>
    <font>
      <strike/>
      <sz val="11"/>
      <color rgb="FF0070C0"/>
      <name val="Calibri"/>
      <family val="2"/>
      <scheme val="minor"/>
    </font>
    <font>
      <b/>
      <u/>
      <sz val="11"/>
      <color rgb="FF0070C0"/>
      <name val="Calibri"/>
      <family val="2"/>
      <scheme val="minor"/>
    </font>
    <font>
      <sz val="8"/>
      <color rgb="FF0070C0"/>
      <name val="Arial"/>
      <family val="2"/>
    </font>
    <font>
      <sz val="11"/>
      <color rgb="FF000000"/>
      <name val="Calibri"/>
      <family val="2"/>
    </font>
    <font>
      <b/>
      <sz val="10"/>
      <color rgb="FFFF0000"/>
      <name val="Arial"/>
      <family val="2"/>
    </font>
    <font>
      <sz val="10"/>
      <name val="Arial"/>
      <family val="2"/>
    </font>
    <font>
      <b/>
      <sz val="10"/>
      <name val="Arial"/>
      <family val="2"/>
    </font>
    <font>
      <i/>
      <sz val="8"/>
      <color theme="0" tint="-0.34998626667073579"/>
      <name val="Arial"/>
      <family val="2"/>
    </font>
    <font>
      <i/>
      <sz val="8"/>
      <color theme="0" tint="-0.499984740745262"/>
      <name val="Arial"/>
      <family val="2"/>
    </font>
    <font>
      <b/>
      <sz val="10"/>
      <color rgb="FFFFFFFF"/>
      <name val="Arial"/>
      <family val="2"/>
    </font>
    <font>
      <b/>
      <sz val="10"/>
      <color theme="4" tint="-0.249977111117893"/>
      <name val="Arial"/>
      <family val="2"/>
    </font>
    <font>
      <sz val="11"/>
      <name val="Calibri"/>
      <family val="2"/>
    </font>
    <font>
      <b/>
      <sz val="12"/>
      <color theme="1"/>
      <name val="Arial"/>
      <family val="2"/>
    </font>
    <font>
      <b/>
      <sz val="12"/>
      <color rgb="FFFF0000"/>
      <name val="Arial"/>
      <family val="2"/>
    </font>
  </fonts>
  <fills count="2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92D050"/>
        <bgColor indexed="64"/>
      </patternFill>
    </fill>
    <fill>
      <patternFill patternType="solid">
        <fgColor rgb="FF92CDDC"/>
        <bgColor indexed="64"/>
      </patternFill>
    </fill>
    <fill>
      <patternFill patternType="solid">
        <fgColor rgb="FF0070C0"/>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bgColor rgb="FF000000"/>
      </patternFill>
    </fill>
    <fill>
      <patternFill patternType="solid">
        <fgColor theme="9"/>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7030A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FFFFFF"/>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right style="thick">
        <color rgb="FFFF0000"/>
      </right>
      <top/>
      <bottom style="thin">
        <color indexed="64"/>
      </bottom>
      <diagonal/>
    </border>
    <border>
      <left/>
      <right style="thick">
        <color rgb="FFFF0000"/>
      </right>
      <top/>
      <bottom/>
      <diagonal/>
    </border>
    <border>
      <left style="thick">
        <color rgb="FFFF0000"/>
      </left>
      <right style="thick">
        <color rgb="FFFF0000"/>
      </right>
      <top style="thick">
        <color rgb="FFFF0000"/>
      </top>
      <bottom style="thick">
        <color rgb="FFFF0000"/>
      </bottom>
      <diagonal/>
    </border>
    <border>
      <left style="thick">
        <color rgb="FFFF0000"/>
      </left>
      <right/>
      <top/>
      <bottom/>
      <diagonal/>
    </border>
  </borders>
  <cellStyleXfs count="14">
    <xf numFmtId="0" fontId="0" fillId="0" borderId="0"/>
    <xf numFmtId="0" fontId="7" fillId="0" borderId="0"/>
    <xf numFmtId="0" fontId="7" fillId="0" borderId="0"/>
    <xf numFmtId="0" fontId="6" fillId="0" borderId="0"/>
    <xf numFmtId="0" fontId="17" fillId="0" borderId="0" applyNumberForma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2" fillId="0" borderId="0"/>
    <xf numFmtId="0" fontId="41" fillId="0" borderId="0"/>
  </cellStyleXfs>
  <cellXfs count="385">
    <xf numFmtId="0" fontId="0" fillId="0" borderId="0" xfId="0"/>
    <xf numFmtId="165" fontId="14" fillId="2" borderId="0" xfId="0" applyNumberFormat="1" applyFont="1" applyFill="1" applyAlignment="1">
      <alignment horizontal="center"/>
    </xf>
    <xf numFmtId="165" fontId="14" fillId="3" borderId="0" xfId="0" applyNumberFormat="1" applyFont="1" applyFill="1" applyAlignment="1">
      <alignment horizontal="center"/>
    </xf>
    <xf numFmtId="165" fontId="14" fillId="4" borderId="0" xfId="0" applyNumberFormat="1" applyFont="1" applyFill="1" applyAlignment="1">
      <alignment horizontal="center"/>
    </xf>
    <xf numFmtId="0" fontId="0" fillId="2" borderId="0" xfId="0" applyFill="1"/>
    <xf numFmtId="0" fontId="16" fillId="2" borderId="0" xfId="0" applyFont="1" applyFill="1"/>
    <xf numFmtId="0" fontId="0" fillId="2" borderId="0" xfId="0" applyFill="1" applyAlignment="1">
      <alignment horizontal="right" vertical="center"/>
    </xf>
    <xf numFmtId="0" fontId="16" fillId="2" borderId="3" xfId="0" applyFont="1" applyFill="1" applyBorder="1"/>
    <xf numFmtId="0" fontId="10" fillId="2" borderId="2" xfId="0" applyFont="1" applyFill="1" applyBorder="1" applyAlignment="1">
      <alignment horizontal="center" vertical="center"/>
    </xf>
    <xf numFmtId="0" fontId="10" fillId="2" borderId="4" xfId="0" applyFont="1" applyFill="1" applyBorder="1" applyAlignment="1">
      <alignment horizontal="center" vertical="center"/>
    </xf>
    <xf numFmtId="0" fontId="8" fillId="2" borderId="8" xfId="0" applyFont="1" applyFill="1" applyBorder="1" applyAlignment="1">
      <alignment horizontal="center"/>
    </xf>
    <xf numFmtId="0" fontId="8" fillId="2" borderId="5" xfId="0" applyFont="1" applyFill="1" applyBorder="1" applyAlignment="1">
      <alignment horizontal="center" vertical="center" wrapText="1"/>
    </xf>
    <xf numFmtId="0" fontId="8" fillId="2" borderId="8" xfId="0" applyFont="1" applyFill="1" applyBorder="1" applyAlignment="1" applyProtection="1">
      <alignment horizontal="center"/>
      <protection locked="0"/>
    </xf>
    <xf numFmtId="0" fontId="8" fillId="2" borderId="9" xfId="0" applyFont="1" applyFill="1" applyBorder="1" applyAlignment="1">
      <alignment horizontal="center"/>
    </xf>
    <xf numFmtId="0" fontId="18" fillId="10" borderId="0" xfId="0" applyFont="1" applyFill="1"/>
    <xf numFmtId="0" fontId="8" fillId="2" borderId="0" xfId="0" applyFont="1" applyFill="1"/>
    <xf numFmtId="0" fontId="15" fillId="2" borderId="0" xfId="0" applyFont="1" applyFill="1" applyAlignment="1">
      <alignment horizontal="left" vertical="center"/>
    </xf>
    <xf numFmtId="0" fontId="10" fillId="2" borderId="0" xfId="0" applyFont="1" applyFill="1"/>
    <xf numFmtId="0" fontId="8" fillId="2" borderId="0" xfId="0" applyFont="1" applyFill="1" applyAlignment="1">
      <alignment horizontal="center"/>
    </xf>
    <xf numFmtId="0" fontId="9" fillId="2" borderId="0" xfId="0" applyFont="1" applyFill="1"/>
    <xf numFmtId="0" fontId="10" fillId="2" borderId="0" xfId="0" applyFont="1" applyFill="1" applyAlignment="1">
      <alignment horizontal="center"/>
    </xf>
    <xf numFmtId="0" fontId="8" fillId="2" borderId="0" xfId="0" applyFont="1" applyFill="1" applyAlignment="1">
      <alignment horizontal="left" indent="1"/>
    </xf>
    <xf numFmtId="0" fontId="8" fillId="2" borderId="0" xfId="0" applyFont="1" applyFill="1" applyAlignment="1">
      <alignment horizontal="left"/>
    </xf>
    <xf numFmtId="165" fontId="8" fillId="2" borderId="0" xfId="0" applyNumberFormat="1" applyFont="1" applyFill="1" applyAlignment="1">
      <alignment horizontal="center"/>
    </xf>
    <xf numFmtId="0" fontId="8" fillId="2" borderId="6" xfId="0" applyFont="1" applyFill="1" applyBorder="1"/>
    <xf numFmtId="2" fontId="8" fillId="2" borderId="0" xfId="0" applyNumberFormat="1" applyFont="1" applyFill="1" applyAlignment="1">
      <alignment horizontal="center"/>
    </xf>
    <xf numFmtId="165" fontId="14" fillId="2" borderId="6" xfId="0" applyNumberFormat="1" applyFont="1" applyFill="1" applyBorder="1" applyAlignment="1">
      <alignment horizontal="center"/>
    </xf>
    <xf numFmtId="165" fontId="8" fillId="2" borderId="0" xfId="0" applyNumberFormat="1" applyFont="1" applyFill="1"/>
    <xf numFmtId="0" fontId="19" fillId="2" borderId="0" xfId="0" applyFont="1" applyFill="1" applyAlignment="1">
      <alignment horizontal="left" vertical="center"/>
    </xf>
    <xf numFmtId="0" fontId="0" fillId="2" borderId="4" xfId="0" applyFill="1" applyBorder="1" applyAlignment="1">
      <alignment horizontal="center"/>
    </xf>
    <xf numFmtId="0" fontId="8" fillId="2" borderId="0" xfId="0" applyFont="1" applyFill="1" applyAlignment="1">
      <alignment horizontal="right"/>
    </xf>
    <xf numFmtId="164" fontId="8" fillId="2" borderId="0" xfId="0" applyNumberFormat="1" applyFont="1" applyFill="1" applyAlignment="1">
      <alignment horizontal="right"/>
    </xf>
    <xf numFmtId="165" fontId="15" fillId="2" borderId="0" xfId="0" applyNumberFormat="1" applyFont="1" applyFill="1" applyAlignment="1">
      <alignment horizontal="center"/>
    </xf>
    <xf numFmtId="165" fontId="12" fillId="2" borderId="6" xfId="0" applyNumberFormat="1" applyFont="1" applyFill="1" applyBorder="1" applyAlignment="1">
      <alignment horizontal="center"/>
    </xf>
    <xf numFmtId="165" fontId="11" fillId="2" borderId="3" xfId="0" applyNumberFormat="1" applyFont="1" applyFill="1" applyBorder="1" applyAlignment="1">
      <alignment horizontal="center"/>
    </xf>
    <xf numFmtId="165" fontId="8" fillId="2" borderId="6" xfId="0" applyNumberFormat="1" applyFont="1" applyFill="1" applyBorder="1" applyAlignment="1">
      <alignment horizontal="center"/>
    </xf>
    <xf numFmtId="165" fontId="13" fillId="2" borderId="3" xfId="0" applyNumberFormat="1" applyFont="1" applyFill="1" applyBorder="1" applyAlignment="1">
      <alignment horizontal="center"/>
    </xf>
    <xf numFmtId="0" fontId="8" fillId="2" borderId="11" xfId="0" applyFont="1" applyFill="1" applyBorder="1"/>
    <xf numFmtId="2" fontId="8" fillId="2" borderId="0" xfId="0" applyNumberFormat="1" applyFont="1" applyFill="1"/>
    <xf numFmtId="0" fontId="10" fillId="2" borderId="2" xfId="0" applyFont="1" applyFill="1" applyBorder="1"/>
    <xf numFmtId="2" fontId="8" fillId="2" borderId="4" xfId="0" applyNumberFormat="1" applyFont="1" applyFill="1" applyBorder="1" applyAlignment="1" applyProtection="1">
      <alignment horizontal="center"/>
      <protection locked="0"/>
    </xf>
    <xf numFmtId="0" fontId="10" fillId="2" borderId="9" xfId="0" applyFont="1" applyFill="1" applyBorder="1"/>
    <xf numFmtId="2" fontId="8" fillId="2" borderId="7" xfId="0" applyNumberFormat="1" applyFont="1" applyFill="1" applyBorder="1" applyAlignment="1" applyProtection="1">
      <alignment horizontal="center"/>
      <protection locked="0"/>
    </xf>
    <xf numFmtId="2" fontId="8" fillId="2" borderId="0" xfId="0" applyNumberFormat="1" applyFont="1" applyFill="1" applyAlignment="1" applyProtection="1">
      <alignment horizontal="center"/>
      <protection locked="0"/>
    </xf>
    <xf numFmtId="165" fontId="14" fillId="2" borderId="0" xfId="0" applyNumberFormat="1" applyFont="1" applyFill="1" applyAlignment="1" applyProtection="1">
      <alignment horizontal="center"/>
      <protection locked="0"/>
    </xf>
    <xf numFmtId="0" fontId="8" fillId="2" borderId="0" xfId="0" applyFont="1" applyFill="1" applyProtection="1">
      <protection locked="0"/>
    </xf>
    <xf numFmtId="164" fontId="8" fillId="2" borderId="0" xfId="0" applyNumberFormat="1" applyFont="1" applyFill="1"/>
    <xf numFmtId="0" fontId="14" fillId="2" borderId="0" xfId="0" applyFont="1" applyFill="1"/>
    <xf numFmtId="2" fontId="14" fillId="2" borderId="0" xfId="0" applyNumberFormat="1" applyFont="1" applyFill="1" applyAlignment="1" applyProtection="1">
      <alignment horizontal="center"/>
      <protection locked="0"/>
    </xf>
    <xf numFmtId="0" fontId="9" fillId="2" borderId="5" xfId="0" applyFont="1" applyFill="1" applyBorder="1" applyAlignment="1">
      <alignment horizontal="center"/>
    </xf>
    <xf numFmtId="0" fontId="8" fillId="2" borderId="5" xfId="0" applyFont="1" applyFill="1" applyBorder="1" applyAlignment="1">
      <alignment horizontal="center"/>
    </xf>
    <xf numFmtId="0" fontId="8" fillId="2" borderId="7" xfId="0" applyFont="1" applyFill="1" applyBorder="1" applyAlignment="1">
      <alignment horizontal="center"/>
    </xf>
    <xf numFmtId="0" fontId="20" fillId="10" borderId="0" xfId="0" applyFont="1" applyFill="1"/>
    <xf numFmtId="2" fontId="20" fillId="10" borderId="0" xfId="0" applyNumberFormat="1" applyFont="1" applyFill="1" applyAlignment="1">
      <alignment horizontal="center"/>
    </xf>
    <xf numFmtId="0" fontId="20" fillId="10" borderId="0" xfId="0" applyFont="1" applyFill="1" applyAlignment="1">
      <alignment horizontal="center"/>
    </xf>
    <xf numFmtId="0" fontId="20" fillId="10" borderId="0" xfId="0" applyFont="1" applyFill="1" applyAlignment="1">
      <alignment horizontal="right"/>
    </xf>
    <xf numFmtId="0" fontId="21" fillId="10" borderId="0" xfId="0" applyFont="1" applyFill="1" applyAlignment="1">
      <alignment vertical="center"/>
    </xf>
    <xf numFmtId="0" fontId="18" fillId="10" borderId="0" xfId="0" applyFont="1" applyFill="1" applyAlignment="1">
      <alignment horizontal="left" vertical="center"/>
    </xf>
    <xf numFmtId="0" fontId="21" fillId="10" borderId="0" xfId="0" applyFont="1" applyFill="1" applyAlignment="1">
      <alignment horizontal="center" vertical="center"/>
    </xf>
    <xf numFmtId="0" fontId="21" fillId="10" borderId="0" xfId="0" applyFont="1" applyFill="1" applyAlignment="1">
      <alignment horizontal="right" vertical="center"/>
    </xf>
    <xf numFmtId="0" fontId="18" fillId="10" borderId="0" xfId="0" applyFont="1" applyFill="1" applyAlignment="1">
      <alignment vertical="center"/>
    </xf>
    <xf numFmtId="0" fontId="8" fillId="2" borderId="3" xfId="0" applyFont="1" applyFill="1" applyBorder="1"/>
    <xf numFmtId="165" fontId="8" fillId="2" borderId="3" xfId="0" applyNumberFormat="1" applyFont="1" applyFill="1" applyBorder="1" applyAlignment="1">
      <alignment horizontal="center"/>
    </xf>
    <xf numFmtId="0" fontId="14" fillId="2" borderId="0" xfId="0" applyFont="1" applyFill="1" applyAlignment="1">
      <alignment horizontal="left" indent="1"/>
    </xf>
    <xf numFmtId="0" fontId="11" fillId="2" borderId="3" xfId="0" applyFont="1" applyFill="1" applyBorder="1"/>
    <xf numFmtId="0" fontId="11" fillId="2" borderId="11" xfId="0" applyFont="1" applyFill="1" applyBorder="1"/>
    <xf numFmtId="0" fontId="11" fillId="2" borderId="11" xfId="0" applyFont="1" applyFill="1" applyBorder="1" applyAlignment="1">
      <alignment horizontal="center"/>
    </xf>
    <xf numFmtId="0" fontId="15" fillId="2" borderId="3" xfId="0" applyFont="1" applyFill="1" applyBorder="1"/>
    <xf numFmtId="0" fontId="12" fillId="2" borderId="0" xfId="0" applyFont="1" applyFill="1" applyAlignment="1">
      <alignment horizontal="left" indent="1"/>
    </xf>
    <xf numFmtId="0" fontId="14" fillId="2" borderId="6" xfId="0" applyFont="1" applyFill="1" applyBorder="1" applyAlignment="1">
      <alignment horizontal="left" indent="1"/>
    </xf>
    <xf numFmtId="0" fontId="15" fillId="2" borderId="0" xfId="0" applyFont="1" applyFill="1"/>
    <xf numFmtId="0" fontId="21" fillId="10" borderId="0" xfId="0" applyFont="1" applyFill="1"/>
    <xf numFmtId="0" fontId="18" fillId="10" borderId="0" xfId="0" applyFont="1" applyFill="1" applyAlignment="1">
      <alignment horizontal="left"/>
    </xf>
    <xf numFmtId="0" fontId="21" fillId="10" borderId="0" xfId="0" applyFont="1" applyFill="1" applyAlignment="1">
      <alignment horizontal="center"/>
    </xf>
    <xf numFmtId="0" fontId="21" fillId="10" borderId="0" xfId="0" applyFont="1" applyFill="1" applyAlignment="1">
      <alignment horizontal="right"/>
    </xf>
    <xf numFmtId="164" fontId="8" fillId="2" borderId="0" xfId="0" applyNumberFormat="1" applyFont="1" applyFill="1" applyAlignment="1">
      <alignment horizontal="center"/>
    </xf>
    <xf numFmtId="166" fontId="14" fillId="2" borderId="0" xfId="0" applyNumberFormat="1" applyFont="1" applyFill="1" applyAlignment="1">
      <alignment horizontal="center"/>
    </xf>
    <xf numFmtId="165" fontId="8" fillId="3" borderId="0" xfId="0" applyNumberFormat="1" applyFont="1" applyFill="1" applyAlignment="1">
      <alignment horizontal="center"/>
    </xf>
    <xf numFmtId="165" fontId="14" fillId="5" borderId="0" xfId="0" applyNumberFormat="1" applyFont="1" applyFill="1" applyAlignment="1">
      <alignment horizontal="center"/>
    </xf>
    <xf numFmtId="0" fontId="18" fillId="2" borderId="0" xfId="0" applyFont="1" applyFill="1"/>
    <xf numFmtId="167" fontId="14" fillId="2" borderId="0" xfId="0" applyNumberFormat="1" applyFont="1" applyFill="1" applyAlignment="1">
      <alignment horizontal="center"/>
    </xf>
    <xf numFmtId="170" fontId="14" fillId="2" borderId="0" xfId="0" applyNumberFormat="1" applyFont="1" applyFill="1" applyAlignment="1">
      <alignment horizontal="center"/>
    </xf>
    <xf numFmtId="0" fontId="8" fillId="2" borderId="0" xfId="0" applyFont="1" applyFill="1" applyAlignment="1">
      <alignment horizontal="left" indent="3"/>
    </xf>
    <xf numFmtId="0" fontId="15" fillId="2" borderId="6" xfId="0" applyFont="1" applyFill="1" applyBorder="1"/>
    <xf numFmtId="0" fontId="8" fillId="2" borderId="6" xfId="0" applyFont="1" applyFill="1" applyBorder="1" applyAlignment="1">
      <alignment horizontal="left" indent="3"/>
    </xf>
    <xf numFmtId="2" fontId="8" fillId="2" borderId="6" xfId="0" applyNumberFormat="1" applyFont="1" applyFill="1" applyBorder="1" applyAlignment="1">
      <alignment horizontal="center"/>
    </xf>
    <xf numFmtId="0" fontId="21" fillId="2" borderId="0" xfId="0" applyFont="1" applyFill="1"/>
    <xf numFmtId="165" fontId="15" fillId="2" borderId="6" xfId="0" applyNumberFormat="1" applyFont="1" applyFill="1" applyBorder="1" applyAlignment="1">
      <alignment horizontal="center"/>
    </xf>
    <xf numFmtId="165" fontId="24" fillId="10" borderId="0" xfId="0" applyNumberFormat="1" applyFont="1" applyFill="1" applyAlignment="1">
      <alignment horizontal="center"/>
    </xf>
    <xf numFmtId="0" fontId="15" fillId="2" borderId="11" xfId="0" applyFont="1" applyFill="1" applyBorder="1"/>
    <xf numFmtId="165" fontId="8" fillId="2" borderId="6" xfId="0" applyNumberFormat="1" applyFont="1" applyFill="1" applyBorder="1"/>
    <xf numFmtId="165" fontId="15" fillId="2" borderId="11" xfId="0" applyNumberFormat="1" applyFont="1" applyFill="1" applyBorder="1" applyAlignment="1">
      <alignment horizontal="center"/>
    </xf>
    <xf numFmtId="0" fontId="23" fillId="2" borderId="0" xfId="0" applyFont="1" applyFill="1"/>
    <xf numFmtId="165" fontId="23" fillId="2" borderId="0" xfId="0" applyNumberFormat="1" applyFont="1" applyFill="1" applyAlignment="1" applyProtection="1">
      <alignment horizontal="center"/>
      <protection locked="0"/>
    </xf>
    <xf numFmtId="168" fontId="8" fillId="2" borderId="0" xfId="0" applyNumberFormat="1" applyFont="1" applyFill="1"/>
    <xf numFmtId="165" fontId="14" fillId="7" borderId="0" xfId="0" applyNumberFormat="1" applyFont="1" applyFill="1" applyAlignment="1">
      <alignment horizontal="center"/>
    </xf>
    <xf numFmtId="0" fontId="14" fillId="2" borderId="0" xfId="0" applyFont="1" applyFill="1" applyAlignment="1">
      <alignment horizontal="left"/>
    </xf>
    <xf numFmtId="166" fontId="8" fillId="2" borderId="0" xfId="0" applyNumberFormat="1" applyFont="1" applyFill="1"/>
    <xf numFmtId="165" fontId="24" fillId="2" borderId="0" xfId="0" applyNumberFormat="1" applyFont="1" applyFill="1" applyAlignment="1">
      <alignment horizontal="center"/>
    </xf>
    <xf numFmtId="165" fontId="24" fillId="2" borderId="6" xfId="0" applyNumberFormat="1" applyFont="1" applyFill="1" applyBorder="1" applyAlignment="1">
      <alignment horizontal="center"/>
    </xf>
    <xf numFmtId="165" fontId="23" fillId="2" borderId="6" xfId="0" applyNumberFormat="1" applyFont="1" applyFill="1" applyBorder="1" applyAlignment="1">
      <alignment horizontal="center"/>
    </xf>
    <xf numFmtId="0" fontId="19" fillId="2" borderId="0" xfId="0" applyFont="1" applyFill="1" applyAlignment="1" applyProtection="1">
      <alignment horizontal="left" vertical="center"/>
      <protection locked="0"/>
    </xf>
    <xf numFmtId="0" fontId="15" fillId="2" borderId="0" xfId="0" applyFont="1" applyFill="1" applyAlignment="1" applyProtection="1">
      <alignment horizontal="left" vertical="center"/>
      <protection locked="0"/>
    </xf>
    <xf numFmtId="0" fontId="10" fillId="2" borderId="2"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9" fillId="2" borderId="5" xfId="0" applyFont="1" applyFill="1" applyBorder="1" applyAlignment="1" applyProtection="1">
      <alignment horizontal="left" vertical="center"/>
      <protection locked="0"/>
    </xf>
    <xf numFmtId="0" fontId="8" fillId="2" borderId="5"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protection locked="0"/>
    </xf>
    <xf numFmtId="0" fontId="0" fillId="2" borderId="0" xfId="0" applyFill="1" applyProtection="1">
      <protection locked="0"/>
    </xf>
    <xf numFmtId="0" fontId="0" fillId="10" borderId="0" xfId="0" applyFill="1" applyProtection="1">
      <protection locked="0"/>
    </xf>
    <xf numFmtId="0" fontId="18" fillId="10" borderId="0" xfId="0" applyFont="1" applyFill="1" applyProtection="1">
      <protection locked="0"/>
    </xf>
    <xf numFmtId="0" fontId="8" fillId="10" borderId="0" xfId="0" applyFont="1" applyFill="1" applyProtection="1">
      <protection locked="0"/>
    </xf>
    <xf numFmtId="0" fontId="10" fillId="2" borderId="0" xfId="0" applyFont="1" applyFill="1" applyAlignment="1" applyProtection="1">
      <alignment horizontal="center"/>
      <protection locked="0"/>
    </xf>
    <xf numFmtId="0" fontId="0" fillId="2" borderId="6" xfId="0" applyFill="1" applyBorder="1" applyProtection="1">
      <protection locked="0"/>
    </xf>
    <xf numFmtId="0" fontId="10" fillId="2" borderId="6" xfId="0" applyFont="1" applyFill="1" applyBorder="1" applyProtection="1">
      <protection locked="0"/>
    </xf>
    <xf numFmtId="0" fontId="8" fillId="2" borderId="6" xfId="0" applyFont="1" applyFill="1" applyBorder="1" applyAlignment="1" applyProtection="1">
      <alignment horizontal="center"/>
      <protection locked="0"/>
    </xf>
    <xf numFmtId="0" fontId="9" fillId="2" borderId="0" xfId="0" applyFont="1" applyFill="1" applyProtection="1">
      <protection locked="0"/>
    </xf>
    <xf numFmtId="0" fontId="8" fillId="2" borderId="0" xfId="0" applyFont="1" applyFill="1" applyAlignment="1" applyProtection="1">
      <alignment horizontal="center"/>
      <protection locked="0"/>
    </xf>
    <xf numFmtId="165" fontId="14" fillId="3" borderId="0" xfId="0" applyNumberFormat="1" applyFont="1" applyFill="1" applyAlignment="1" applyProtection="1">
      <alignment horizontal="center"/>
      <protection locked="0"/>
    </xf>
    <xf numFmtId="165" fontId="14" fillId="5" borderId="0" xfId="0" applyNumberFormat="1" applyFont="1" applyFill="1" applyAlignment="1" applyProtection="1">
      <alignment horizontal="center"/>
      <protection locked="0"/>
    </xf>
    <xf numFmtId="0" fontId="8" fillId="2" borderId="0" xfId="0" applyFont="1" applyFill="1" applyAlignment="1" applyProtection="1">
      <alignment horizontal="left"/>
      <protection locked="0"/>
    </xf>
    <xf numFmtId="0" fontId="8" fillId="2" borderId="0" xfId="0" applyFont="1" applyFill="1" applyAlignment="1" applyProtection="1">
      <alignment horizontal="left" indent="1"/>
      <protection locked="0"/>
    </xf>
    <xf numFmtId="0" fontId="8" fillId="2" borderId="6" xfId="0" applyFont="1" applyFill="1" applyBorder="1" applyProtection="1">
      <protection locked="0"/>
    </xf>
    <xf numFmtId="165" fontId="8" fillId="2" borderId="0" xfId="0" applyNumberFormat="1" applyFont="1" applyFill="1" applyAlignment="1" applyProtection="1">
      <alignment horizontal="center"/>
      <protection locked="0"/>
    </xf>
    <xf numFmtId="165" fontId="8" fillId="3" borderId="0" xfId="0" applyNumberFormat="1" applyFont="1" applyFill="1" applyAlignment="1" applyProtection="1">
      <alignment horizontal="center"/>
      <protection locked="0"/>
    </xf>
    <xf numFmtId="165" fontId="8" fillId="5" borderId="0" xfId="0" applyNumberFormat="1" applyFont="1" applyFill="1" applyAlignment="1" applyProtection="1">
      <alignment horizontal="center"/>
      <protection locked="0"/>
    </xf>
    <xf numFmtId="169" fontId="14" fillId="2" borderId="0" xfId="0" applyNumberFormat="1" applyFont="1" applyFill="1" applyAlignment="1" applyProtection="1">
      <alignment horizontal="center"/>
      <protection locked="0"/>
    </xf>
    <xf numFmtId="0" fontId="10" fillId="2" borderId="6" xfId="0" applyFont="1" applyFill="1" applyBorder="1" applyAlignment="1" applyProtection="1">
      <alignment horizontal="left"/>
      <protection locked="0"/>
    </xf>
    <xf numFmtId="165" fontId="14" fillId="2" borderId="6" xfId="0" applyNumberFormat="1" applyFont="1" applyFill="1" applyBorder="1" applyAlignment="1" applyProtection="1">
      <alignment horizontal="center"/>
      <protection locked="0"/>
    </xf>
    <xf numFmtId="164" fontId="14" fillId="2" borderId="6" xfId="0" applyNumberFormat="1" applyFont="1" applyFill="1" applyBorder="1" applyAlignment="1" applyProtection="1">
      <alignment horizontal="center"/>
      <protection locked="0"/>
    </xf>
    <xf numFmtId="165" fontId="14" fillId="10" borderId="0" xfId="0" applyNumberFormat="1" applyFont="1" applyFill="1" applyAlignment="1" applyProtection="1">
      <alignment horizontal="center"/>
      <protection locked="0"/>
    </xf>
    <xf numFmtId="0" fontId="18" fillId="2" borderId="0" xfId="0" applyFont="1" applyFill="1" applyProtection="1">
      <protection locked="0"/>
    </xf>
    <xf numFmtId="165" fontId="14" fillId="6" borderId="0" xfId="0" applyNumberFormat="1" applyFont="1" applyFill="1" applyAlignment="1" applyProtection="1">
      <alignment horizontal="center"/>
      <protection locked="0"/>
    </xf>
    <xf numFmtId="165" fontId="8" fillId="6" borderId="0" xfId="0" applyNumberFormat="1" applyFont="1" applyFill="1" applyAlignment="1" applyProtection="1">
      <alignment horizontal="center"/>
      <protection locked="0"/>
    </xf>
    <xf numFmtId="0" fontId="10" fillId="2" borderId="0" xfId="0" applyFont="1" applyFill="1" applyProtection="1">
      <protection locked="0"/>
    </xf>
    <xf numFmtId="165" fontId="11" fillId="2" borderId="0" xfId="0" applyNumberFormat="1" applyFont="1" applyFill="1" applyAlignment="1" applyProtection="1">
      <alignment horizontal="center"/>
      <protection locked="0"/>
    </xf>
    <xf numFmtId="0" fontId="11" fillId="2" borderId="0" xfId="0" applyFont="1" applyFill="1" applyAlignment="1" applyProtection="1">
      <alignment horizontal="center"/>
      <protection locked="0"/>
    </xf>
    <xf numFmtId="165" fontId="14" fillId="11" borderId="0" xfId="0" applyNumberFormat="1" applyFont="1" applyFill="1" applyAlignment="1">
      <alignment horizontal="center"/>
    </xf>
    <xf numFmtId="0" fontId="0" fillId="12" borderId="15" xfId="0" quotePrefix="1" applyFill="1" applyBorder="1" applyAlignment="1" applyProtection="1">
      <alignment horizontal="center" vertical="center"/>
      <protection locked="0"/>
    </xf>
    <xf numFmtId="2" fontId="0" fillId="12" borderId="16" xfId="0" applyNumberFormat="1" applyFill="1" applyBorder="1" applyAlignment="1" applyProtection="1">
      <alignment horizontal="center" vertical="center"/>
      <protection locked="0"/>
    </xf>
    <xf numFmtId="0" fontId="4" fillId="5" borderId="0" xfId="6" applyFill="1"/>
    <xf numFmtId="0" fontId="4" fillId="2" borderId="5" xfId="6" applyFill="1" applyBorder="1"/>
    <xf numFmtId="0" fontId="4" fillId="2" borderId="8" xfId="6" applyFill="1" applyBorder="1"/>
    <xf numFmtId="0" fontId="28" fillId="2" borderId="0" xfId="4" applyFont="1" applyFill="1" applyBorder="1"/>
    <xf numFmtId="0" fontId="26" fillId="7" borderId="0" xfId="6" applyFont="1" applyFill="1" applyAlignment="1">
      <alignment horizontal="justify" wrapText="1"/>
    </xf>
    <xf numFmtId="0" fontId="26" fillId="2" borderId="0" xfId="6" applyFont="1" applyFill="1" applyAlignment="1">
      <alignment vertical="center" wrapText="1"/>
    </xf>
    <xf numFmtId="168" fontId="0" fillId="2" borderId="0" xfId="0" applyNumberFormat="1" applyFill="1" applyProtection="1">
      <protection locked="0"/>
    </xf>
    <xf numFmtId="0" fontId="0" fillId="5" borderId="10" xfId="0" applyFill="1" applyBorder="1" applyAlignment="1">
      <alignment horizontal="center"/>
    </xf>
    <xf numFmtId="0" fontId="0" fillId="5" borderId="1" xfId="0" applyFill="1" applyBorder="1" applyAlignment="1">
      <alignment horizontal="center"/>
    </xf>
    <xf numFmtId="165" fontId="0" fillId="5" borderId="13" xfId="0" applyNumberFormat="1" applyFill="1" applyBorder="1" applyAlignment="1">
      <alignment horizontal="center" vertical="center"/>
    </xf>
    <xf numFmtId="0" fontId="0" fillId="5" borderId="3" xfId="0" applyFill="1" applyBorder="1"/>
    <xf numFmtId="0" fontId="0" fillId="5" borderId="4" xfId="0" applyFill="1" applyBorder="1"/>
    <xf numFmtId="0" fontId="0" fillId="5" borderId="0" xfId="0" applyFill="1"/>
    <xf numFmtId="165" fontId="14" fillId="2" borderId="11" xfId="0" applyNumberFormat="1" applyFont="1" applyFill="1" applyBorder="1" applyAlignment="1">
      <alignment horizontal="center"/>
    </xf>
    <xf numFmtId="0" fontId="22" fillId="2" borderId="5" xfId="0" applyFont="1" applyFill="1" applyBorder="1"/>
    <xf numFmtId="0" fontId="22" fillId="2" borderId="2" xfId="0" applyFont="1" applyFill="1" applyBorder="1"/>
    <xf numFmtId="0" fontId="26" fillId="2" borderId="0" xfId="6" applyFont="1" applyFill="1" applyAlignment="1">
      <alignment horizontal="justify" wrapText="1"/>
    </xf>
    <xf numFmtId="170" fontId="8" fillId="2" borderId="0" xfId="0" applyNumberFormat="1" applyFont="1" applyFill="1" applyAlignment="1">
      <alignment horizontal="center"/>
    </xf>
    <xf numFmtId="0" fontId="33" fillId="15" borderId="0" xfId="3" applyFont="1" applyFill="1" applyAlignment="1">
      <alignment horizontal="left" vertical="top"/>
    </xf>
    <xf numFmtId="0" fontId="0" fillId="2" borderId="6" xfId="0" applyFill="1" applyBorder="1" applyAlignment="1">
      <alignment horizontal="justify" vertical="top" wrapText="1"/>
    </xf>
    <xf numFmtId="0" fontId="16" fillId="2" borderId="10" xfId="0" applyFont="1" applyFill="1" applyBorder="1" applyAlignment="1">
      <alignment horizontal="center" vertical="top" wrapText="1"/>
    </xf>
    <xf numFmtId="0" fontId="16" fillId="2" borderId="11" xfId="0" applyFont="1" applyFill="1" applyBorder="1" applyAlignment="1">
      <alignment horizontal="center" vertical="top" wrapText="1"/>
    </xf>
    <xf numFmtId="2" fontId="0" fillId="2" borderId="0" xfId="0" applyNumberFormat="1" applyFill="1"/>
    <xf numFmtId="2" fontId="0" fillId="2" borderId="0" xfId="0" applyNumberFormat="1" applyFill="1" applyAlignment="1">
      <alignment horizontal="center" vertical="top" wrapText="1"/>
    </xf>
    <xf numFmtId="0" fontId="0" fillId="2" borderId="0" xfId="0" applyFill="1" applyAlignment="1">
      <alignment vertical="top" wrapText="1"/>
    </xf>
    <xf numFmtId="0" fontId="0" fillId="2" borderId="7" xfId="0" applyFill="1" applyBorder="1" applyAlignment="1">
      <alignment horizontal="justify" vertical="top" wrapText="1"/>
    </xf>
    <xf numFmtId="0" fontId="16" fillId="2" borderId="0" xfId="0" applyFont="1" applyFill="1" applyAlignment="1">
      <alignment horizontal="center" vertical="top" wrapText="1"/>
    </xf>
    <xf numFmtId="0" fontId="0" fillId="2" borderId="0" xfId="0" applyFill="1" applyAlignment="1">
      <alignment vertical="center" wrapText="1"/>
    </xf>
    <xf numFmtId="165" fontId="0" fillId="2" borderId="9" xfId="0" applyNumberFormat="1" applyFill="1" applyBorder="1" applyAlignment="1">
      <alignment horizontal="center" vertical="top" wrapText="1"/>
    </xf>
    <xf numFmtId="165" fontId="0" fillId="2" borderId="6" xfId="0" applyNumberFormat="1" applyFill="1" applyBorder="1" applyAlignment="1">
      <alignment horizontal="center" vertical="top" wrapText="1"/>
    </xf>
    <xf numFmtId="2" fontId="0" fillId="2" borderId="3" xfId="0" applyNumberFormat="1" applyFill="1" applyBorder="1" applyAlignment="1">
      <alignment horizontal="center" vertical="top" wrapText="1"/>
    </xf>
    <xf numFmtId="2" fontId="0" fillId="2" borderId="4" xfId="0" applyNumberFormat="1" applyFill="1" applyBorder="1" applyAlignment="1">
      <alignment horizontal="center" vertical="top" wrapText="1"/>
    </xf>
    <xf numFmtId="165" fontId="0" fillId="2" borderId="7" xfId="0" applyNumberFormat="1" applyFill="1" applyBorder="1" applyAlignment="1">
      <alignment horizontal="center" vertical="top" wrapText="1"/>
    </xf>
    <xf numFmtId="0" fontId="34" fillId="2" borderId="0" xfId="0" applyFont="1" applyFill="1" applyAlignment="1">
      <alignment vertical="top" wrapText="1"/>
    </xf>
    <xf numFmtId="0" fontId="16" fillId="2" borderId="12" xfId="0" applyFont="1" applyFill="1" applyBorder="1" applyAlignment="1">
      <alignment horizontal="center" vertical="top" wrapText="1"/>
    </xf>
    <xf numFmtId="0" fontId="22" fillId="2" borderId="9" xfId="0" applyFont="1" applyFill="1" applyBorder="1"/>
    <xf numFmtId="0" fontId="0" fillId="2" borderId="17" xfId="0" applyFill="1" applyBorder="1"/>
    <xf numFmtId="0" fontId="22" fillId="5" borderId="2" xfId="0" applyFont="1" applyFill="1" applyBorder="1"/>
    <xf numFmtId="165" fontId="14" fillId="6" borderId="0" xfId="0" applyNumberFormat="1" applyFont="1" applyFill="1" applyAlignment="1">
      <alignment horizontal="center"/>
    </xf>
    <xf numFmtId="168" fontId="8" fillId="2" borderId="0" xfId="0" applyNumberFormat="1" applyFont="1" applyFill="1" applyAlignment="1">
      <alignment horizontal="center"/>
    </xf>
    <xf numFmtId="165" fontId="8" fillId="11" borderId="0" xfId="0" applyNumberFormat="1" applyFont="1" applyFill="1" applyAlignment="1">
      <alignment horizontal="center"/>
    </xf>
    <xf numFmtId="165" fontId="8" fillId="11" borderId="6" xfId="0" applyNumberFormat="1" applyFont="1" applyFill="1" applyBorder="1" applyAlignment="1">
      <alignment horizontal="center"/>
    </xf>
    <xf numFmtId="165" fontId="0" fillId="2" borderId="0" xfId="0" applyNumberFormat="1" applyFill="1" applyAlignment="1">
      <alignment horizontal="center" vertical="top" wrapText="1"/>
    </xf>
    <xf numFmtId="0" fontId="8" fillId="2" borderId="11" xfId="0" applyFont="1" applyFill="1" applyBorder="1" applyAlignment="1">
      <alignment horizontal="center"/>
    </xf>
    <xf numFmtId="169" fontId="8" fillId="2" borderId="0" xfId="0" applyNumberFormat="1" applyFont="1" applyFill="1"/>
    <xf numFmtId="2" fontId="8" fillId="11" borderId="0" xfId="0" applyNumberFormat="1" applyFont="1" applyFill="1" applyAlignment="1">
      <alignment horizontal="center"/>
    </xf>
    <xf numFmtId="2" fontId="8" fillId="11" borderId="6" xfId="0" applyNumberFormat="1" applyFont="1" applyFill="1" applyBorder="1" applyAlignment="1">
      <alignment horizontal="center"/>
    </xf>
    <xf numFmtId="2" fontId="37" fillId="2" borderId="0" xfId="0" applyNumberFormat="1" applyFont="1" applyFill="1" applyAlignment="1">
      <alignment horizontal="center"/>
    </xf>
    <xf numFmtId="2" fontId="14" fillId="2" borderId="0" xfId="0" applyNumberFormat="1" applyFont="1" applyFill="1" applyAlignment="1">
      <alignment horizontal="center"/>
    </xf>
    <xf numFmtId="2" fontId="14" fillId="2" borderId="6" xfId="0" applyNumberFormat="1" applyFont="1" applyFill="1" applyBorder="1" applyAlignment="1">
      <alignment horizontal="center"/>
    </xf>
    <xf numFmtId="165" fontId="8" fillId="13" borderId="0" xfId="0" applyNumberFormat="1" applyFont="1" applyFill="1" applyAlignment="1">
      <alignment horizontal="center"/>
    </xf>
    <xf numFmtId="0" fontId="0" fillId="2" borderId="0" xfId="0" applyFont="1" applyFill="1"/>
    <xf numFmtId="0" fontId="0" fillId="2" borderId="0" xfId="0" applyFill="1" applyBorder="1"/>
    <xf numFmtId="0" fontId="0" fillId="2" borderId="0" xfId="0" applyFill="1" applyBorder="1" applyAlignment="1">
      <alignment horizontal="left" vertical="center" wrapText="1"/>
    </xf>
    <xf numFmtId="0" fontId="0" fillId="2" borderId="8" xfId="0" applyFill="1" applyBorder="1" applyAlignment="1">
      <alignment horizontal="left" vertical="center" wrapText="1"/>
    </xf>
    <xf numFmtId="165" fontId="0" fillId="2" borderId="5" xfId="0" applyNumberFormat="1" applyFill="1" applyBorder="1" applyAlignment="1">
      <alignment horizontal="center" vertical="top" wrapText="1"/>
    </xf>
    <xf numFmtId="165" fontId="0" fillId="2" borderId="0" xfId="0" applyNumberFormat="1" applyFill="1" applyBorder="1" applyAlignment="1">
      <alignment horizontal="center" vertical="top" wrapText="1"/>
    </xf>
    <xf numFmtId="165" fontId="0" fillId="2" borderId="3" xfId="0" applyNumberFormat="1" applyFill="1" applyBorder="1" applyAlignment="1">
      <alignment horizontal="center" vertical="top" wrapText="1"/>
    </xf>
    <xf numFmtId="165" fontId="0" fillId="2" borderId="8" xfId="0" applyNumberFormat="1" applyFill="1" applyBorder="1" applyAlignment="1">
      <alignment horizontal="center" vertical="top" wrapText="1"/>
    </xf>
    <xf numFmtId="0" fontId="0" fillId="2" borderId="5" xfId="0" applyFill="1" applyBorder="1" applyAlignment="1">
      <alignment horizontal="left" vertical="center"/>
    </xf>
    <xf numFmtId="0" fontId="0" fillId="2" borderId="18" xfId="0" applyFill="1" applyBorder="1"/>
    <xf numFmtId="0" fontId="0" fillId="5" borderId="14" xfId="0" quotePrefix="1" applyFill="1" applyBorder="1" applyAlignment="1">
      <alignment horizontal="center" vertical="center"/>
    </xf>
    <xf numFmtId="0" fontId="22" fillId="5" borderId="9" xfId="0" applyFont="1" applyFill="1" applyBorder="1"/>
    <xf numFmtId="165" fontId="0" fillId="5" borderId="9" xfId="0" applyNumberFormat="1" applyFill="1" applyBorder="1" applyAlignment="1">
      <alignment horizontal="center" vertical="center"/>
    </xf>
    <xf numFmtId="0" fontId="0" fillId="2" borderId="1" xfId="0" applyFill="1" applyBorder="1" applyAlignment="1">
      <alignment horizontal="center" vertical="center"/>
    </xf>
    <xf numFmtId="0" fontId="2" fillId="5" borderId="0" xfId="12" applyFill="1"/>
    <xf numFmtId="0" fontId="2" fillId="2" borderId="7" xfId="12" applyFill="1" applyBorder="1"/>
    <xf numFmtId="0" fontId="2" fillId="2" borderId="9" xfId="12" applyFill="1" applyBorder="1"/>
    <xf numFmtId="0" fontId="2" fillId="5" borderId="0" xfId="12" applyFill="1" applyAlignment="1">
      <alignment vertical="top"/>
    </xf>
    <xf numFmtId="0" fontId="2" fillId="2" borderId="8" xfId="12" applyFill="1" applyBorder="1"/>
    <xf numFmtId="0" fontId="2" fillId="2" borderId="5" xfId="12" applyFill="1" applyBorder="1"/>
    <xf numFmtId="0" fontId="26" fillId="2" borderId="0" xfId="12" applyFont="1" applyFill="1" applyAlignment="1">
      <alignment vertical="center" wrapText="1"/>
    </xf>
    <xf numFmtId="0" fontId="26" fillId="2" borderId="0" xfId="12" applyFont="1" applyFill="1" applyAlignment="1">
      <alignment horizontal="justify" wrapText="1"/>
    </xf>
    <xf numFmtId="0" fontId="26" fillId="2" borderId="0" xfId="12" applyFont="1" applyFill="1" applyAlignment="1">
      <alignment horizontal="justify" vertical="top" wrapText="1"/>
    </xf>
    <xf numFmtId="165" fontId="32" fillId="2" borderId="0" xfId="12" applyNumberFormat="1" applyFont="1" applyFill="1" applyAlignment="1">
      <alignment horizontal="center"/>
    </xf>
    <xf numFmtId="0" fontId="26" fillId="2" borderId="0" xfId="12" applyFont="1" applyFill="1" applyAlignment="1">
      <alignment horizontal="justify" vertical="justify" wrapText="1"/>
    </xf>
    <xf numFmtId="165" fontId="32" fillId="4" borderId="0" xfId="12" applyNumberFormat="1" applyFont="1" applyFill="1" applyAlignment="1">
      <alignment horizontal="center"/>
    </xf>
    <xf numFmtId="165" fontId="32" fillId="13" borderId="0" xfId="12" applyNumberFormat="1" applyFont="1" applyFill="1" applyAlignment="1">
      <alignment horizontal="center"/>
    </xf>
    <xf numFmtId="165" fontId="32" fillId="3" borderId="0" xfId="12" applyNumberFormat="1" applyFont="1" applyFill="1" applyAlignment="1">
      <alignment horizontal="center"/>
    </xf>
    <xf numFmtId="0" fontId="26" fillId="8" borderId="0" xfId="12" applyFont="1" applyFill="1"/>
    <xf numFmtId="0" fontId="26" fillId="9" borderId="0" xfId="12" applyFont="1" applyFill="1" applyAlignment="1">
      <alignment horizontal="justify" wrapText="1"/>
    </xf>
    <xf numFmtId="165" fontId="32" fillId="6" borderId="0" xfId="12" applyNumberFormat="1" applyFont="1" applyFill="1" applyAlignment="1">
      <alignment horizontal="center"/>
    </xf>
    <xf numFmtId="0" fontId="26" fillId="2" borderId="0" xfId="12" applyFont="1" applyFill="1" applyAlignment="1">
      <alignment horizontal="left" vertical="center" wrapText="1"/>
    </xf>
    <xf numFmtId="165" fontId="32" fillId="11" borderId="0" xfId="12" applyNumberFormat="1" applyFont="1" applyFill="1" applyAlignment="1">
      <alignment horizontal="center"/>
    </xf>
    <xf numFmtId="165" fontId="32" fillId="5" borderId="0" xfId="12" applyNumberFormat="1" applyFont="1" applyFill="1" applyAlignment="1">
      <alignment horizontal="center"/>
    </xf>
    <xf numFmtId="0" fontId="26" fillId="2" borderId="0" xfId="12" applyFont="1" applyFill="1" applyAlignment="1">
      <alignment horizontal="left" wrapText="1"/>
    </xf>
    <xf numFmtId="0" fontId="2" fillId="5" borderId="0" xfId="12" applyFill="1" applyAlignment="1">
      <alignment vertical="top" wrapText="1"/>
    </xf>
    <xf numFmtId="0" fontId="26" fillId="7" borderId="0" xfId="12" applyFont="1" applyFill="1" applyAlignment="1">
      <alignment horizontal="justify" wrapText="1"/>
    </xf>
    <xf numFmtId="0" fontId="25" fillId="5" borderId="0" xfId="12" applyFont="1" applyFill="1"/>
    <xf numFmtId="0" fontId="26" fillId="2" borderId="0" xfId="12" applyFont="1" applyFill="1"/>
    <xf numFmtId="0" fontId="27" fillId="2" borderId="0" xfId="12" applyFont="1" applyFill="1"/>
    <xf numFmtId="0" fontId="2" fillId="2" borderId="4" xfId="12" applyFill="1" applyBorder="1"/>
    <xf numFmtId="0" fontId="2" fillId="2" borderId="3" xfId="12" applyFill="1" applyBorder="1"/>
    <xf numFmtId="0" fontId="2" fillId="2" borderId="2" xfId="12" applyFill="1" applyBorder="1"/>
    <xf numFmtId="0" fontId="2" fillId="2" borderId="6" xfId="12" applyFill="1" applyBorder="1"/>
    <xf numFmtId="0" fontId="2" fillId="2" borderId="0" xfId="12" applyFill="1"/>
    <xf numFmtId="0" fontId="26" fillId="2" borderId="3" xfId="12" applyFont="1" applyFill="1" applyBorder="1"/>
    <xf numFmtId="0" fontId="0" fillId="2" borderId="0" xfId="0" applyFill="1" applyAlignment="1">
      <alignment horizontal="justify" vertical="top" wrapText="1"/>
    </xf>
    <xf numFmtId="165" fontId="8" fillId="3" borderId="6" xfId="0" applyNumberFormat="1" applyFont="1" applyFill="1" applyBorder="1" applyAlignment="1">
      <alignment horizontal="center"/>
    </xf>
    <xf numFmtId="0" fontId="0" fillId="2" borderId="6" xfId="0" applyFill="1" applyBorder="1" applyAlignment="1">
      <alignment horizontal="left" vertical="center" wrapText="1"/>
    </xf>
    <xf numFmtId="0" fontId="0" fillId="2" borderId="7" xfId="0" applyFill="1" applyBorder="1" applyAlignment="1">
      <alignment horizontal="left" vertical="center" wrapText="1"/>
    </xf>
    <xf numFmtId="0" fontId="16" fillId="2" borderId="0" xfId="0" applyFont="1" applyFill="1" applyAlignment="1">
      <alignment horizontal="center" vertical="center" wrapText="1"/>
    </xf>
    <xf numFmtId="1" fontId="8" fillId="2" borderId="7" xfId="0" applyNumberFormat="1" applyFont="1" applyFill="1" applyBorder="1" applyAlignment="1" applyProtection="1">
      <alignment horizontal="center"/>
      <protection locked="0"/>
    </xf>
    <xf numFmtId="2" fontId="0" fillId="12" borderId="19" xfId="0" quotePrefix="1" applyNumberFormat="1" applyFill="1" applyBorder="1" applyAlignment="1" applyProtection="1">
      <alignment horizontal="center" vertical="center"/>
      <protection locked="0"/>
    </xf>
    <xf numFmtId="0" fontId="16" fillId="2" borderId="0" xfId="0" applyFont="1" applyFill="1" applyBorder="1"/>
    <xf numFmtId="2" fontId="0" fillId="2" borderId="2" xfId="0" applyNumberFormat="1" applyFill="1" applyBorder="1" applyAlignment="1">
      <alignment horizontal="center" vertical="top" wrapText="1"/>
    </xf>
    <xf numFmtId="0" fontId="0" fillId="2" borderId="9" xfId="0" applyFill="1" applyBorder="1" applyAlignment="1">
      <alignment horizontal="left" vertical="center"/>
    </xf>
    <xf numFmtId="0" fontId="0" fillId="2" borderId="0" xfId="0" applyFill="1" applyBorder="1" applyAlignment="1">
      <alignment horizontal="left" vertical="center"/>
    </xf>
    <xf numFmtId="0" fontId="0" fillId="2" borderId="8" xfId="0" applyFill="1" applyBorder="1" applyAlignment="1">
      <alignment horizontal="left" vertical="center"/>
    </xf>
    <xf numFmtId="0" fontId="0" fillId="2" borderId="3" xfId="0" applyFill="1" applyBorder="1" applyAlignment="1">
      <alignment vertical="center"/>
    </xf>
    <xf numFmtId="2" fontId="0" fillId="2" borderId="0" xfId="0" applyNumberFormat="1" applyFill="1" applyBorder="1" applyAlignment="1">
      <alignment horizontal="center"/>
    </xf>
    <xf numFmtId="165" fontId="0" fillId="5" borderId="11" xfId="0" applyNumberFormat="1" applyFill="1" applyBorder="1" applyAlignment="1">
      <alignment horizontal="center" vertical="top" wrapText="1"/>
    </xf>
    <xf numFmtId="165" fontId="0" fillId="5" borderId="12" xfId="0" applyNumberFormat="1" applyFill="1" applyBorder="1" applyAlignment="1">
      <alignment horizontal="center" vertical="top" wrapText="1"/>
    </xf>
    <xf numFmtId="0" fontId="22" fillId="2" borderId="0" xfId="0" applyFont="1" applyFill="1" applyBorder="1" applyAlignment="1"/>
    <xf numFmtId="165" fontId="0" fillId="2" borderId="0" xfId="0" applyNumberFormat="1" applyFill="1" applyBorder="1" applyAlignment="1">
      <alignment horizontal="center"/>
    </xf>
    <xf numFmtId="0" fontId="0" fillId="2" borderId="6" xfId="0" applyFill="1" applyBorder="1" applyAlignment="1">
      <alignment horizontal="left" vertical="center"/>
    </xf>
    <xf numFmtId="2" fontId="0" fillId="2" borderId="6" xfId="0" applyNumberFormat="1" applyFill="1" applyBorder="1" applyAlignment="1">
      <alignment horizontal="center"/>
    </xf>
    <xf numFmtId="0" fontId="0" fillId="14" borderId="1" xfId="0" applyFill="1" applyBorder="1" applyAlignment="1">
      <alignment horizontal="center" vertical="center" wrapText="1"/>
    </xf>
    <xf numFmtId="0" fontId="0" fillId="2" borderId="0" xfId="0" applyFill="1" applyBorder="1" applyAlignment="1">
      <alignment vertical="center"/>
    </xf>
    <xf numFmtId="169" fontId="14" fillId="2" borderId="0" xfId="0" applyNumberFormat="1" applyFont="1" applyFill="1" applyAlignment="1" applyProtection="1">
      <alignment horizontal="left"/>
      <protection locked="0"/>
    </xf>
    <xf numFmtId="165" fontId="14" fillId="11" borderId="2" xfId="0" applyNumberFormat="1" applyFont="1" applyFill="1" applyBorder="1" applyAlignment="1" applyProtection="1">
      <alignment horizontal="center"/>
      <protection locked="0"/>
    </xf>
    <xf numFmtId="165" fontId="14" fillId="11" borderId="4" xfId="0" applyNumberFormat="1" applyFont="1" applyFill="1" applyBorder="1" applyAlignment="1" applyProtection="1">
      <alignment horizontal="center"/>
      <protection locked="0"/>
    </xf>
    <xf numFmtId="165" fontId="14" fillId="11" borderId="9" xfId="0" applyNumberFormat="1" applyFont="1" applyFill="1" applyBorder="1" applyAlignment="1" applyProtection="1">
      <alignment horizontal="center"/>
      <protection locked="0"/>
    </xf>
    <xf numFmtId="165" fontId="14" fillId="11" borderId="7" xfId="0" applyNumberFormat="1" applyFont="1" applyFill="1" applyBorder="1" applyAlignment="1" applyProtection="1">
      <alignment horizontal="center"/>
      <protection locked="0"/>
    </xf>
    <xf numFmtId="0" fontId="1" fillId="5" borderId="0" xfId="6" applyFont="1" applyFill="1" applyAlignment="1">
      <alignment vertical="top" wrapText="1"/>
    </xf>
    <xf numFmtId="0" fontId="16" fillId="2" borderId="1" xfId="0" applyFont="1" applyFill="1" applyBorder="1" applyAlignment="1">
      <alignment horizontal="center" vertical="center" wrapText="1"/>
    </xf>
    <xf numFmtId="0" fontId="16" fillId="2" borderId="5" xfId="0" applyFont="1" applyFill="1" applyBorder="1" applyAlignment="1">
      <alignment vertical="center"/>
    </xf>
    <xf numFmtId="0" fontId="16" fillId="2" borderId="5" xfId="0" applyFont="1" applyFill="1" applyBorder="1" applyAlignment="1">
      <alignment horizontal="center" vertical="center" wrapText="1"/>
    </xf>
    <xf numFmtId="0" fontId="26" fillId="2" borderId="0" xfId="6" applyFont="1" applyFill="1" applyAlignment="1">
      <alignment horizontal="justify" vertical="top" wrapText="1"/>
    </xf>
    <xf numFmtId="0" fontId="14" fillId="2" borderId="0" xfId="0" applyFont="1" applyFill="1" applyAlignment="1" applyProtection="1">
      <alignment horizontal="left"/>
      <protection locked="0"/>
    </xf>
    <xf numFmtId="0" fontId="14" fillId="2" borderId="0" xfId="0" applyFont="1" applyFill="1" applyProtection="1">
      <protection locked="0"/>
    </xf>
    <xf numFmtId="0" fontId="12" fillId="2" borderId="0" xfId="0" applyFont="1" applyFill="1" applyProtection="1">
      <protection locked="0"/>
    </xf>
    <xf numFmtId="0" fontId="26" fillId="10" borderId="0" xfId="6" applyFont="1" applyFill="1" applyAlignment="1">
      <alignment horizontal="justify" wrapText="1"/>
    </xf>
    <xf numFmtId="0" fontId="26" fillId="16" borderId="0" xfId="6" applyFont="1" applyFill="1" applyAlignment="1">
      <alignment horizontal="justify" wrapText="1"/>
    </xf>
    <xf numFmtId="0" fontId="38" fillId="2" borderId="0" xfId="0" applyFont="1" applyFill="1" applyAlignment="1">
      <alignment horizontal="left" indent="1"/>
    </xf>
    <xf numFmtId="165" fontId="14" fillId="2" borderId="3" xfId="0" applyNumberFormat="1" applyFont="1" applyFill="1" applyBorder="1" applyAlignment="1">
      <alignment horizontal="center"/>
    </xf>
    <xf numFmtId="0" fontId="0" fillId="0" borderId="0" xfId="0" applyFont="1"/>
    <xf numFmtId="165" fontId="0" fillId="2" borderId="0" xfId="0" applyNumberFormat="1" applyFont="1" applyFill="1" applyAlignment="1">
      <alignment horizontal="center" vertical="center"/>
    </xf>
    <xf numFmtId="0" fontId="0" fillId="2" borderId="0" xfId="0" applyFont="1" applyFill="1" applyAlignment="1">
      <alignment horizontal="center" vertical="top"/>
    </xf>
    <xf numFmtId="0" fontId="0" fillId="18" borderId="0" xfId="0" applyFont="1" applyFill="1" applyAlignment="1">
      <alignment horizontal="center" vertical="top"/>
    </xf>
    <xf numFmtId="0" fontId="0" fillId="18" borderId="0" xfId="0" applyFont="1" applyFill="1" applyAlignment="1">
      <alignment vertical="top"/>
    </xf>
    <xf numFmtId="0" fontId="16" fillId="0" borderId="0" xfId="0" applyFont="1" applyFill="1" applyAlignment="1">
      <alignment horizontal="left" vertical="center"/>
    </xf>
    <xf numFmtId="0" fontId="39" fillId="17" borderId="0" xfId="0" applyFont="1" applyFill="1" applyAlignment="1">
      <alignment horizontal="left" vertical="center"/>
    </xf>
    <xf numFmtId="0" fontId="0" fillId="17" borderId="0" xfId="0" applyFont="1" applyFill="1" applyAlignment="1">
      <alignment vertical="top"/>
    </xf>
    <xf numFmtId="0" fontId="18" fillId="17" borderId="0" xfId="0" applyFont="1" applyFill="1" applyAlignment="1">
      <alignment horizontal="center" vertical="top"/>
    </xf>
    <xf numFmtId="0" fontId="18" fillId="17" borderId="0" xfId="0" applyFont="1" applyFill="1" applyAlignment="1">
      <alignment horizontal="center"/>
    </xf>
    <xf numFmtId="0" fontId="40" fillId="17" borderId="0" xfId="0" applyFont="1" applyFill="1" applyAlignment="1">
      <alignment horizontal="center" vertical="center" wrapText="1"/>
    </xf>
    <xf numFmtId="0" fontId="39" fillId="17" borderId="0" xfId="0" applyFont="1" applyFill="1" applyAlignment="1">
      <alignment horizontal="center" vertical="center" wrapText="1"/>
    </xf>
    <xf numFmtId="0" fontId="35" fillId="18" borderId="0" xfId="0" applyFont="1" applyFill="1" applyAlignment="1">
      <alignment horizontal="left" vertical="top" wrapText="1"/>
    </xf>
    <xf numFmtId="0" fontId="21" fillId="18" borderId="0" xfId="0" applyFont="1" applyFill="1" applyAlignment="1">
      <alignment horizontal="center"/>
    </xf>
    <xf numFmtId="0" fontId="0" fillId="18" borderId="0" xfId="0" applyFont="1" applyFill="1" applyAlignment="1">
      <alignment horizontal="left"/>
    </xf>
    <xf numFmtId="0" fontId="35" fillId="18" borderId="0" xfId="0" applyFont="1" applyFill="1" applyAlignment="1">
      <alignment horizontal="left" vertical="top" wrapText="1" indent="1"/>
    </xf>
    <xf numFmtId="0" fontId="35" fillId="18" borderId="0" xfId="0" applyFont="1" applyFill="1" applyAlignment="1">
      <alignment vertical="top"/>
    </xf>
    <xf numFmtId="0" fontId="35" fillId="18" borderId="0" xfId="0" applyFont="1" applyFill="1" applyAlignment="1">
      <alignment horizontal="left" wrapText="1"/>
    </xf>
    <xf numFmtId="0" fontId="0" fillId="17" borderId="0" xfId="0" applyFont="1" applyFill="1"/>
    <xf numFmtId="1" fontId="39" fillId="17" borderId="0" xfId="0" applyNumberFormat="1" applyFont="1" applyFill="1" applyAlignment="1">
      <alignment horizontal="center" vertical="center" wrapText="1"/>
    </xf>
    <xf numFmtId="2" fontId="0" fillId="2" borderId="0" xfId="0" applyNumberFormat="1" applyFont="1" applyFill="1" applyAlignment="1">
      <alignment horizontal="center" vertical="center"/>
    </xf>
    <xf numFmtId="165" fontId="21" fillId="2" borderId="0" xfId="0" applyNumberFormat="1" applyFont="1" applyFill="1" applyAlignment="1">
      <alignment horizontal="center" vertical="center"/>
    </xf>
    <xf numFmtId="0" fontId="21" fillId="2" borderId="0" xfId="0" applyFont="1" applyFill="1" applyAlignment="1">
      <alignment horizontal="center" vertical="center"/>
    </xf>
    <xf numFmtId="0" fontId="0" fillId="2" borderId="0" xfId="0" applyFont="1" applyFill="1" applyAlignment="1">
      <alignment vertical="top"/>
    </xf>
    <xf numFmtId="0" fontId="16" fillId="2" borderId="0" xfId="0" applyFont="1" applyFill="1" applyAlignment="1">
      <alignment horizontal="left" vertical="center"/>
    </xf>
    <xf numFmtId="0" fontId="0" fillId="18" borderId="0" xfId="0" applyFont="1" applyFill="1" applyAlignment="1">
      <alignment horizontal="center"/>
    </xf>
    <xf numFmtId="165" fontId="21" fillId="0" borderId="0" xfId="0" applyNumberFormat="1" applyFont="1" applyAlignment="1">
      <alignment horizontal="center" vertical="center"/>
    </xf>
    <xf numFmtId="0" fontId="42" fillId="2" borderId="0" xfId="0" applyFont="1" applyFill="1" applyAlignment="1">
      <alignment vertical="center" wrapText="1"/>
    </xf>
    <xf numFmtId="165" fontId="8" fillId="2" borderId="0" xfId="0" applyNumberFormat="1" applyFont="1" applyFill="1" applyAlignment="1">
      <alignment horizontal="center" vertical="center"/>
    </xf>
    <xf numFmtId="0" fontId="26" fillId="2" borderId="0" xfId="12" applyFont="1" applyFill="1" applyAlignment="1">
      <alignment horizontal="justify" vertical="top" wrapText="1"/>
    </xf>
    <xf numFmtId="0" fontId="26" fillId="19" borderId="0" xfId="6" applyFont="1" applyFill="1" applyAlignment="1">
      <alignment horizontal="justify" wrapText="1"/>
    </xf>
    <xf numFmtId="0" fontId="43" fillId="2" borderId="0" xfId="0" applyFont="1" applyFill="1" applyAlignment="1">
      <alignment vertical="center" wrapText="1"/>
    </xf>
    <xf numFmtId="0" fontId="35" fillId="2" borderId="0" xfId="0" applyFont="1" applyFill="1"/>
    <xf numFmtId="0" fontId="21" fillId="2" borderId="0" xfId="0" applyFont="1" applyFill="1" applyAlignment="1">
      <alignment horizontal="center"/>
    </xf>
    <xf numFmtId="165" fontId="21" fillId="2" borderId="0" xfId="0" applyNumberFormat="1" applyFont="1" applyFill="1" applyAlignment="1">
      <alignment horizontal="center"/>
    </xf>
    <xf numFmtId="0" fontId="34" fillId="2" borderId="0" xfId="0" quotePrefix="1" applyFont="1" applyFill="1" applyAlignment="1">
      <alignment horizontal="center" vertical="center"/>
    </xf>
    <xf numFmtId="165" fontId="14" fillId="2" borderId="0" xfId="0" applyNumberFormat="1" applyFont="1" applyFill="1" applyAlignment="1" applyProtection="1">
      <alignment horizontal="left"/>
      <protection locked="0"/>
    </xf>
    <xf numFmtId="1" fontId="14" fillId="20" borderId="0" xfId="0" applyNumberFormat="1" applyFont="1" applyFill="1" applyAlignment="1" applyProtection="1">
      <alignment horizontal="center"/>
      <protection locked="0"/>
    </xf>
    <xf numFmtId="0" fontId="26" fillId="2" borderId="0" xfId="12" applyFont="1" applyFill="1" applyAlignment="1">
      <alignment horizontal="justify" vertical="top" wrapText="1"/>
    </xf>
    <xf numFmtId="0" fontId="4" fillId="2" borderId="5" xfId="6" applyFill="1" applyBorder="1" applyAlignment="1">
      <alignment vertical="center"/>
    </xf>
    <xf numFmtId="0" fontId="26" fillId="7" borderId="0" xfId="6" applyFont="1" applyFill="1" applyAlignment="1">
      <alignment horizontal="justify" vertical="center" wrapText="1"/>
    </xf>
    <xf numFmtId="0" fontId="26" fillId="12" borderId="19" xfId="6" applyFont="1" applyFill="1" applyBorder="1" applyAlignment="1">
      <alignment vertical="center" wrapText="1"/>
    </xf>
    <xf numFmtId="0" fontId="4" fillId="2" borderId="8" xfId="6" applyFill="1" applyBorder="1" applyAlignment="1">
      <alignment vertical="center"/>
    </xf>
    <xf numFmtId="0" fontId="26" fillId="2" borderId="13" xfId="6" applyFont="1" applyFill="1" applyBorder="1" applyAlignment="1">
      <alignment vertical="center" wrapText="1"/>
    </xf>
    <xf numFmtId="0" fontId="26" fillId="5" borderId="0" xfId="6" applyFont="1" applyFill="1" applyBorder="1" applyAlignment="1">
      <alignment vertical="center" wrapText="1"/>
    </xf>
    <xf numFmtId="0" fontId="26" fillId="2" borderId="0" xfId="6" applyFont="1" applyFill="1" applyAlignment="1">
      <alignment horizontal="justify" vertical="center" wrapText="1"/>
    </xf>
    <xf numFmtId="0" fontId="2" fillId="5" borderId="0" xfId="12" applyFill="1" applyAlignment="1">
      <alignment vertical="center"/>
    </xf>
    <xf numFmtId="0" fontId="2" fillId="5" borderId="0" xfId="12" applyFill="1" applyAlignment="1">
      <alignment vertical="center" wrapText="1"/>
    </xf>
    <xf numFmtId="2" fontId="0" fillId="2" borderId="10" xfId="0" applyNumberFormat="1" applyFill="1" applyBorder="1" applyAlignment="1">
      <alignment horizontal="center"/>
    </xf>
    <xf numFmtId="165" fontId="0" fillId="2" borderId="11" xfId="0" applyNumberFormat="1" applyFill="1" applyBorder="1" applyAlignment="1">
      <alignment horizontal="center" vertical="top" wrapText="1"/>
    </xf>
    <xf numFmtId="0" fontId="26" fillId="21" borderId="3" xfId="6" applyFont="1" applyFill="1" applyBorder="1" applyAlignment="1">
      <alignment vertical="center" wrapText="1"/>
    </xf>
    <xf numFmtId="2" fontId="14" fillId="11" borderId="0" xfId="0" applyNumberFormat="1" applyFont="1" applyFill="1" applyAlignment="1">
      <alignment horizontal="center"/>
    </xf>
    <xf numFmtId="165" fontId="14" fillId="11" borderId="3" xfId="0" applyNumberFormat="1" applyFont="1" applyFill="1" applyBorder="1" applyAlignment="1" applyProtection="1">
      <alignment horizontal="center"/>
      <protection locked="0"/>
    </xf>
    <xf numFmtId="165" fontId="14" fillId="11" borderId="6" xfId="0" applyNumberFormat="1" applyFont="1" applyFill="1" applyBorder="1" applyAlignment="1" applyProtection="1">
      <alignment horizontal="center"/>
      <protection locked="0"/>
    </xf>
    <xf numFmtId="2" fontId="21" fillId="10" borderId="0" xfId="0" applyNumberFormat="1" applyFont="1" applyFill="1" applyAlignment="1">
      <alignment horizontal="center" vertical="center"/>
    </xf>
    <xf numFmtId="165" fontId="8" fillId="2" borderId="0" xfId="0" applyNumberFormat="1" applyFont="1" applyFill="1" applyBorder="1" applyAlignment="1">
      <alignment horizontal="center"/>
    </xf>
    <xf numFmtId="165" fontId="14" fillId="22" borderId="0" xfId="0" applyNumberFormat="1" applyFont="1" applyFill="1" applyAlignment="1" applyProtection="1">
      <alignment horizontal="center"/>
      <protection locked="0"/>
    </xf>
    <xf numFmtId="165" fontId="8" fillId="22" borderId="0" xfId="0" applyNumberFormat="1" applyFont="1" applyFill="1" applyAlignment="1" applyProtection="1">
      <alignment horizontal="center"/>
      <protection locked="0"/>
    </xf>
    <xf numFmtId="0" fontId="8" fillId="22" borderId="0" xfId="0" applyFont="1" applyFill="1"/>
    <xf numFmtId="167" fontId="8" fillId="22" borderId="0" xfId="0" applyNumberFormat="1" applyFont="1" applyFill="1" applyAlignment="1">
      <alignment horizontal="center"/>
    </xf>
    <xf numFmtId="2" fontId="8" fillId="22" borderId="0" xfId="0" applyNumberFormat="1" applyFont="1" applyFill="1" applyAlignment="1">
      <alignment horizontal="center"/>
    </xf>
    <xf numFmtId="165" fontId="8" fillId="22" borderId="0" xfId="0" applyNumberFormat="1" applyFont="1" applyFill="1" applyAlignment="1">
      <alignment horizontal="center"/>
    </xf>
    <xf numFmtId="2" fontId="37" fillId="22" borderId="0" xfId="0" applyNumberFormat="1" applyFont="1" applyFill="1" applyAlignment="1">
      <alignment horizontal="center"/>
    </xf>
    <xf numFmtId="2" fontId="14" fillId="22" borderId="0" xfId="0" applyNumberFormat="1" applyFont="1" applyFill="1" applyAlignment="1">
      <alignment horizontal="center"/>
    </xf>
    <xf numFmtId="2" fontId="21" fillId="2" borderId="0" xfId="0" applyNumberFormat="1" applyFont="1" applyFill="1"/>
    <xf numFmtId="0" fontId="26" fillId="2" borderId="0" xfId="6" applyFont="1" applyFill="1" applyAlignment="1">
      <alignment horizontal="justify" vertical="top" wrapText="1"/>
    </xf>
    <xf numFmtId="0" fontId="27" fillId="2" borderId="0" xfId="12" applyFont="1" applyFill="1" applyAlignment="1">
      <alignment horizontal="justify" vertical="justify" wrapText="1"/>
    </xf>
    <xf numFmtId="0" fontId="26" fillId="2" borderId="0" xfId="12" applyFont="1" applyFill="1" applyAlignment="1">
      <alignment horizontal="justify" vertical="top" wrapText="1"/>
    </xf>
    <xf numFmtId="0" fontId="26" fillId="2" borderId="6" xfId="12" applyFont="1" applyFill="1" applyBorder="1" applyAlignment="1">
      <alignment horizontal="justify" vertical="top" wrapText="1"/>
    </xf>
    <xf numFmtId="0" fontId="26" fillId="2" borderId="0" xfId="12" applyFont="1" applyFill="1" applyAlignment="1">
      <alignment horizontal="justify" vertical="center" wrapText="1"/>
    </xf>
    <xf numFmtId="0" fontId="26" fillId="2" borderId="0" xfId="12" applyFont="1" applyFill="1" applyAlignment="1">
      <alignment horizontal="left" vertical="center" wrapText="1"/>
    </xf>
    <xf numFmtId="0" fontId="26" fillId="2" borderId="0" xfId="6" applyFont="1" applyFill="1" applyAlignment="1">
      <alignment horizontal="justify" vertical="center" wrapText="1"/>
    </xf>
    <xf numFmtId="0" fontId="26" fillId="2" borderId="0" xfId="12" applyFont="1" applyFill="1" applyAlignment="1">
      <alignment horizontal="left" vertical="top" wrapText="1"/>
    </xf>
    <xf numFmtId="0" fontId="26" fillId="2" borderId="0" xfId="12" applyFont="1" applyFill="1" applyAlignment="1">
      <alignment horizontal="justify" vertical="justify" wrapText="1"/>
    </xf>
    <xf numFmtId="0" fontId="26" fillId="2" borderId="20" xfId="6" applyFont="1" applyFill="1" applyBorder="1" applyAlignment="1">
      <alignment horizontal="left" vertical="center" wrapText="1"/>
    </xf>
    <xf numFmtId="0" fontId="26" fillId="2" borderId="0" xfId="6" applyFont="1" applyFill="1" applyAlignment="1">
      <alignment horizontal="left" vertical="center" wrapText="1"/>
    </xf>
    <xf numFmtId="0" fontId="26" fillId="2" borderId="0" xfId="6" applyFont="1" applyFill="1" applyBorder="1" applyAlignment="1">
      <alignment horizontal="left" vertical="center" wrapText="1"/>
    </xf>
    <xf numFmtId="0" fontId="36" fillId="2" borderId="0" xfId="0" applyFont="1" applyFill="1" applyAlignment="1">
      <alignment horizontal="center" vertical="center" wrapText="1"/>
    </xf>
    <xf numFmtId="0" fontId="0" fillId="2" borderId="3" xfId="0" applyFill="1" applyBorder="1" applyAlignment="1">
      <alignment horizontal="justify" vertical="top"/>
    </xf>
    <xf numFmtId="0" fontId="43" fillId="2" borderId="5" xfId="0" applyFont="1" applyFill="1" applyBorder="1" applyAlignment="1">
      <alignment horizontal="left" vertical="center" wrapText="1" indent="1"/>
    </xf>
    <xf numFmtId="0" fontId="43" fillId="2" borderId="0" xfId="0" applyFont="1" applyFill="1" applyAlignment="1">
      <alignment horizontal="left" vertical="center" wrapText="1" indent="1"/>
    </xf>
    <xf numFmtId="0" fontId="16" fillId="2" borderId="5"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10" xfId="0" applyFont="1" applyFill="1" applyBorder="1" applyAlignment="1">
      <alignment horizontal="center"/>
    </xf>
    <xf numFmtId="0" fontId="16" fillId="2" borderId="11" xfId="0" applyFont="1" applyFill="1" applyBorder="1" applyAlignment="1">
      <alignment horizontal="center"/>
    </xf>
    <xf numFmtId="0" fontId="16" fillId="2" borderId="12" xfId="0" applyFont="1" applyFill="1" applyBorder="1" applyAlignment="1">
      <alignment horizontal="center"/>
    </xf>
    <xf numFmtId="0" fontId="16" fillId="2" borderId="9" xfId="0" applyFont="1" applyFill="1" applyBorder="1" applyAlignment="1">
      <alignment horizontal="center" vertical="center"/>
    </xf>
    <xf numFmtId="0" fontId="16" fillId="2" borderId="7" xfId="0" applyFont="1" applyFill="1" applyBorder="1" applyAlignment="1">
      <alignment horizontal="center" vertical="center"/>
    </xf>
    <xf numFmtId="0" fontId="16" fillId="5" borderId="10"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35" fillId="2" borderId="3" xfId="0" applyFont="1" applyFill="1" applyBorder="1" applyAlignment="1">
      <alignment horizontal="justify" vertical="top" wrapText="1"/>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36" fillId="2" borderId="10" xfId="0" applyFont="1" applyFill="1" applyBorder="1" applyAlignment="1">
      <alignment horizontal="center" vertical="center" wrapText="1"/>
    </xf>
    <xf numFmtId="0" fontId="36" fillId="2" borderId="11" xfId="0" applyFont="1" applyFill="1" applyBorder="1" applyAlignment="1">
      <alignment horizontal="center" vertical="center" wrapText="1"/>
    </xf>
    <xf numFmtId="0" fontId="36" fillId="2" borderId="12" xfId="0" applyFont="1" applyFill="1" applyBorder="1" applyAlignment="1">
      <alignment horizontal="center"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16" fillId="2" borderId="10" xfId="0" applyFont="1" applyFill="1" applyBorder="1" applyAlignment="1">
      <alignment horizontal="center" vertical="center" wrapText="1"/>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0" fillId="2" borderId="5" xfId="0" applyFill="1" applyBorder="1" applyAlignment="1">
      <alignment horizontal="left" vertical="center"/>
    </xf>
    <xf numFmtId="0" fontId="0" fillId="2" borderId="0" xfId="0" applyFill="1" applyBorder="1" applyAlignment="1">
      <alignment horizontal="left" vertical="center"/>
    </xf>
    <xf numFmtId="0" fontId="0" fillId="2" borderId="8" xfId="0" applyFill="1" applyBorder="1" applyAlignment="1">
      <alignment horizontal="left" vertical="center"/>
    </xf>
    <xf numFmtId="0" fontId="16" fillId="2" borderId="14"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10" xfId="0" applyFont="1" applyFill="1" applyBorder="1" applyAlignment="1">
      <alignment horizontal="center" vertical="center"/>
    </xf>
  </cellXfs>
  <cellStyles count="14">
    <cellStyle name="Hyperlink 2" xfId="4" xr:uid="{00000000-0005-0000-0000-000000000000}"/>
    <cellStyle name="Normal" xfId="0" builtinId="0"/>
    <cellStyle name="Normal 2" xfId="3" xr:uid="{00000000-0005-0000-0000-000002000000}"/>
    <cellStyle name="Normal 2 2" xfId="5" xr:uid="{00000000-0005-0000-0000-000003000000}"/>
    <cellStyle name="Normal 2 2 2" xfId="6" xr:uid="{00000000-0005-0000-0000-000004000000}"/>
    <cellStyle name="Normal 2 2 2 2" xfId="11" xr:uid="{D0E23963-54C4-40C3-A08B-C51BBEBC5911}"/>
    <cellStyle name="Normal 2 2 2 3" xfId="12" xr:uid="{E686E16B-8FF5-42A3-854C-C9783938C00C}"/>
    <cellStyle name="Normal 2 2 3" xfId="10" xr:uid="{8E0939B2-890A-4E4A-9A67-9A990C4259EA}"/>
    <cellStyle name="Normal 2 3" xfId="9" xr:uid="{6D6AF9E9-B81E-4C25-8D2A-8C5EC56A28D7}"/>
    <cellStyle name="Normal 4 5" xfId="13" xr:uid="{961F5BD5-E2A8-4CCD-93A3-2FC6DE1553AE}"/>
    <cellStyle name="Normal 5" xfId="2" xr:uid="{00000000-0005-0000-0000-000005000000}"/>
    <cellStyle name="Normal 5 2" xfId="8" xr:uid="{BE5ABAF7-F156-47EA-94C7-F5604FBB16A1}"/>
    <cellStyle name="Normal 6" xfId="1" xr:uid="{00000000-0005-0000-0000-000006000000}"/>
    <cellStyle name="Normal 6 2" xfId="7" xr:uid="{D760FB6E-0ACD-4E7B-8A23-51253FCE930B}"/>
  </cellStyles>
  <dxfs count="17">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border>
        <left/>
        <right/>
        <top/>
        <bottom/>
      </border>
    </dxf>
    <dxf>
      <font>
        <color theme="0"/>
      </font>
      <fill>
        <patternFill patternType="solid">
          <bgColor theme="0"/>
        </patternFill>
      </fill>
      <border>
        <left/>
        <right/>
        <top/>
        <bottom/>
        <vertical/>
        <horizontal/>
      </border>
    </dxf>
    <dxf>
      <fill>
        <patternFill>
          <bgColor theme="0" tint="-0.14996795556505021"/>
        </patternFill>
      </fill>
    </dxf>
    <dxf>
      <font>
        <color theme="0"/>
      </font>
      <fill>
        <patternFill>
          <bgColor theme="0"/>
        </patternFill>
      </fill>
      <border>
        <left/>
        <right/>
        <top/>
        <bottom/>
      </border>
    </dxf>
    <dxf>
      <fill>
        <patternFill>
          <bgColor theme="0" tint="-0.14996795556505021"/>
        </patternFill>
      </fill>
    </dxf>
    <dxf>
      <font>
        <color theme="0"/>
      </font>
      <fill>
        <patternFill>
          <bgColor theme="0"/>
        </patternFill>
      </fill>
      <border>
        <left/>
        <right/>
        <top/>
        <bottom/>
      </border>
    </dxf>
    <dxf>
      <font>
        <b/>
        <i val="0"/>
        <color rgb="FF00B050"/>
      </font>
    </dxf>
    <dxf>
      <font>
        <b/>
        <i val="0"/>
        <color rgb="FF00B050"/>
      </font>
    </dxf>
    <dxf>
      <font>
        <color theme="5" tint="-0.499984740745262"/>
      </font>
      <fill>
        <patternFill>
          <bgColor rgb="FFFFC7CE"/>
        </patternFill>
      </fill>
    </dxf>
    <dxf>
      <font>
        <color rgb="FF9C0006"/>
      </font>
      <fill>
        <patternFill>
          <bgColor rgb="FFFFC7CE"/>
        </patternFill>
      </fill>
    </dxf>
    <dxf>
      <border>
        <left style="thin">
          <color auto="1"/>
        </left>
        <right/>
        <top/>
        <bottom/>
        <vertical/>
        <horizontal/>
      </border>
    </dxf>
    <dxf>
      <font>
        <strike val="0"/>
        <color theme="0"/>
      </font>
      <fill>
        <patternFill>
          <bgColor theme="0"/>
        </patternFill>
      </fill>
    </dxf>
    <dxf>
      <border>
        <left/>
        <right/>
        <top/>
        <bottom/>
        <vertical/>
        <horizontal/>
      </border>
    </dxf>
  </dxfs>
  <tableStyles count="0" defaultTableStyle="TableStyleMedium2" defaultPivotStyle="PivotStyleLight16"/>
  <colors>
    <mruColors>
      <color rgb="FFFFFFCC"/>
      <color rgb="FFF8A8ED"/>
      <color rgb="FFFFC7CE"/>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88354</xdr:colOff>
      <xdr:row>1</xdr:row>
      <xdr:rowOff>121091</xdr:rowOff>
    </xdr:from>
    <xdr:ext cx="2061795" cy="1405859"/>
    <xdr:pic>
      <xdr:nvPicPr>
        <xdr:cNvPr id="2" name="Picture 1">
          <a:extLst>
            <a:ext uri="{FF2B5EF4-FFF2-40B4-BE49-F238E27FC236}">
              <a16:creationId xmlns:a16="http://schemas.microsoft.com/office/drawing/2014/main" id="{83A349C9-0BCF-4E6E-A9EB-6BA36A335C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7479" y="283016"/>
          <a:ext cx="2061795" cy="140585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6</xdr:col>
      <xdr:colOff>94775</xdr:colOff>
      <xdr:row>4</xdr:row>
      <xdr:rowOff>47630</xdr:rowOff>
    </xdr:from>
    <xdr:to>
      <xdr:col>6</xdr:col>
      <xdr:colOff>597697</xdr:colOff>
      <xdr:row>6</xdr:row>
      <xdr:rowOff>146691</xdr:rowOff>
    </xdr:to>
    <xdr:sp macro="" textlink="">
      <xdr:nvSpPr>
        <xdr:cNvPr id="3" name="Arrow: Down 2">
          <a:extLst>
            <a:ext uri="{FF2B5EF4-FFF2-40B4-BE49-F238E27FC236}">
              <a16:creationId xmlns:a16="http://schemas.microsoft.com/office/drawing/2014/main" id="{7C5B919F-58C7-4F8B-84BA-C890F1B08B6D}"/>
            </a:ext>
          </a:extLst>
        </xdr:cNvPr>
        <xdr:cNvSpPr/>
      </xdr:nvSpPr>
      <xdr:spPr>
        <a:xfrm rot="5400000">
          <a:off x="5190174" y="691044"/>
          <a:ext cx="456249" cy="502922"/>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vert="vert270" lIns="0" tIns="72000" bIns="252000" rtlCol="0" anchor="t"/>
        <a:lstStyle/>
        <a:p>
          <a:pPr algn="l"/>
          <a:r>
            <a:rPr lang="en-IE" sz="1300" b="1"/>
            <a:t>2</a:t>
          </a:r>
        </a:p>
      </xdr:txBody>
    </xdr:sp>
    <xdr:clientData/>
  </xdr:twoCellAnchor>
  <xdr:twoCellAnchor>
    <xdr:from>
      <xdr:col>6</xdr:col>
      <xdr:colOff>97153</xdr:colOff>
      <xdr:row>5</xdr:row>
      <xdr:rowOff>50004</xdr:rowOff>
    </xdr:from>
    <xdr:to>
      <xdr:col>6</xdr:col>
      <xdr:colOff>600075</xdr:colOff>
      <xdr:row>7</xdr:row>
      <xdr:rowOff>149066</xdr:rowOff>
    </xdr:to>
    <xdr:sp macro="" textlink="">
      <xdr:nvSpPr>
        <xdr:cNvPr id="2" name="Arrow: Down 1">
          <a:extLst>
            <a:ext uri="{FF2B5EF4-FFF2-40B4-BE49-F238E27FC236}">
              <a16:creationId xmlns:a16="http://schemas.microsoft.com/office/drawing/2014/main" id="{3D2C05E0-A88D-48E7-9ADA-73E5BB4E2E1F}"/>
            </a:ext>
          </a:extLst>
        </xdr:cNvPr>
        <xdr:cNvSpPr/>
      </xdr:nvSpPr>
      <xdr:spPr>
        <a:xfrm rot="5400000">
          <a:off x="5192552" y="872012"/>
          <a:ext cx="456249" cy="502922"/>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vert="vert270" lIns="0" rtlCol="0" anchor="t"/>
        <a:lstStyle/>
        <a:p>
          <a:pPr algn="l"/>
          <a:r>
            <a:rPr lang="en-IE" sz="1400" b="1"/>
            <a:t>1</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5">
    <wetp:webextensionref xmlns:r="http://schemas.openxmlformats.org/officeDocument/2006/relationships" r:id="rId1"/>
  </wetp:taskpane>
</wetp:taskpanes>
</file>

<file path=xl/webextensions/webextension1.xml><?xml version="1.0" encoding="utf-8"?>
<we:webextension xmlns:we="http://schemas.microsoft.com/office/webextensions/webextension/2010/11" id="{13B7DC54-38DF-4F97-8302-BDF605CAF2E1}">
  <we:reference id="dc57e6d2-28bf-4130-be1a-5961fe0ee311" version="1.0.0.0" store="https://eceuropaeu.sharepoint.com/sites/AppCatalog" storeType="SPCatalog"/>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CFIN-Secretariat-C2@ec.europa.eu"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CC6A2-7519-4767-918E-DF19313B0E34}">
  <sheetPr codeName="Sheet17">
    <tabColor theme="1"/>
  </sheetPr>
  <dimension ref="B2:V72"/>
  <sheetViews>
    <sheetView zoomScaleNormal="100" workbookViewId="0"/>
  </sheetViews>
  <sheetFormatPr defaultColWidth="9.28515625" defaultRowHeight="15" x14ac:dyDescent="0.25"/>
  <cols>
    <col min="1" max="3" width="9.28515625" style="205"/>
    <col min="4" max="4" width="7.28515625" style="205" customWidth="1"/>
    <col min="5" max="5" width="6.140625" style="205" customWidth="1"/>
    <col min="6" max="6" width="3.140625" style="205" customWidth="1"/>
    <col min="7" max="13" width="9.28515625" style="205"/>
    <col min="14" max="14" width="18.140625" style="205" customWidth="1"/>
    <col min="15" max="16384" width="9.28515625" style="205"/>
  </cols>
  <sheetData>
    <row r="2" spans="2:12" x14ac:dyDescent="0.25">
      <c r="B2" s="233"/>
      <c r="C2" s="232"/>
      <c r="D2" s="232"/>
      <c r="E2" s="232"/>
      <c r="F2" s="232"/>
      <c r="G2" s="236"/>
      <c r="H2" s="232"/>
      <c r="I2" s="232"/>
      <c r="J2" s="232"/>
      <c r="K2" s="232"/>
      <c r="L2" s="231"/>
    </row>
    <row r="3" spans="2:12" x14ac:dyDescent="0.25">
      <c r="B3" s="210"/>
      <c r="C3" s="235"/>
      <c r="D3" s="235"/>
      <c r="E3" s="235"/>
      <c r="F3" s="235"/>
      <c r="G3" s="229"/>
      <c r="H3" s="235"/>
      <c r="I3" s="235"/>
      <c r="J3" s="235"/>
      <c r="K3" s="235"/>
      <c r="L3" s="209"/>
    </row>
    <row r="4" spans="2:12" x14ac:dyDescent="0.25">
      <c r="B4" s="210"/>
      <c r="C4" s="235"/>
      <c r="D4" s="235"/>
      <c r="E4" s="235"/>
      <c r="F4" s="235"/>
      <c r="G4" s="230" t="s">
        <v>0</v>
      </c>
      <c r="H4" s="235"/>
      <c r="I4" s="235"/>
      <c r="J4" s="235"/>
      <c r="K4" s="235"/>
      <c r="L4" s="209"/>
    </row>
    <row r="5" spans="2:12" x14ac:dyDescent="0.25">
      <c r="B5" s="210"/>
      <c r="C5" s="235"/>
      <c r="D5" s="235"/>
      <c r="E5" s="235"/>
      <c r="F5" s="235"/>
      <c r="G5" s="229"/>
      <c r="H5" s="235"/>
      <c r="I5" s="235"/>
      <c r="J5" s="235"/>
      <c r="K5" s="235"/>
      <c r="L5" s="209"/>
    </row>
    <row r="6" spans="2:12" x14ac:dyDescent="0.25">
      <c r="B6" s="210"/>
      <c r="C6" s="235"/>
      <c r="D6" s="235"/>
      <c r="E6" s="235"/>
      <c r="F6" s="235"/>
      <c r="G6" s="229" t="s">
        <v>1</v>
      </c>
      <c r="H6" s="235"/>
      <c r="I6" s="235"/>
      <c r="J6" s="235"/>
      <c r="K6" s="235"/>
      <c r="L6" s="209"/>
    </row>
    <row r="7" spans="2:12" x14ac:dyDescent="0.25">
      <c r="B7" s="210"/>
      <c r="C7" s="235"/>
      <c r="D7" s="235"/>
      <c r="E7" s="235"/>
      <c r="F7" s="235"/>
      <c r="G7" s="229" t="s">
        <v>2</v>
      </c>
      <c r="H7" s="235"/>
      <c r="I7" s="235"/>
      <c r="J7" s="235"/>
      <c r="K7" s="235"/>
      <c r="L7" s="209"/>
    </row>
    <row r="8" spans="2:12" x14ac:dyDescent="0.25">
      <c r="B8" s="210"/>
      <c r="C8" s="235"/>
      <c r="D8" s="235"/>
      <c r="E8" s="235"/>
      <c r="F8" s="235"/>
      <c r="G8" s="143" t="s">
        <v>3</v>
      </c>
      <c r="H8" s="235"/>
      <c r="I8" s="235"/>
      <c r="J8" s="235"/>
      <c r="K8" s="235"/>
      <c r="L8" s="209"/>
    </row>
    <row r="9" spans="2:12" x14ac:dyDescent="0.25">
      <c r="B9" s="210"/>
      <c r="C9" s="235"/>
      <c r="D9" s="235"/>
      <c r="E9" s="235"/>
      <c r="F9" s="235"/>
      <c r="G9" s="229"/>
      <c r="H9" s="235"/>
      <c r="I9" s="235"/>
      <c r="J9" s="235"/>
      <c r="K9" s="235"/>
      <c r="L9" s="209"/>
    </row>
    <row r="10" spans="2:12" x14ac:dyDescent="0.25">
      <c r="B10" s="210"/>
      <c r="C10" s="235"/>
      <c r="D10" s="235"/>
      <c r="E10" s="235"/>
      <c r="F10" s="235"/>
      <c r="G10" s="229"/>
      <c r="H10" s="235"/>
      <c r="I10" s="235"/>
      <c r="J10" s="235"/>
      <c r="K10" s="235"/>
      <c r="L10" s="209"/>
    </row>
    <row r="11" spans="2:12" x14ac:dyDescent="0.25">
      <c r="B11" s="207"/>
      <c r="C11" s="234"/>
      <c r="D11" s="234"/>
      <c r="E11" s="234"/>
      <c r="F11" s="234"/>
      <c r="G11" s="234"/>
      <c r="H11" s="234"/>
      <c r="I11" s="234"/>
      <c r="J11" s="234"/>
      <c r="K11" s="234"/>
      <c r="L11" s="206"/>
    </row>
    <row r="15" spans="2:12" x14ac:dyDescent="0.25">
      <c r="B15" s="233"/>
      <c r="C15" s="232"/>
      <c r="D15" s="232"/>
      <c r="E15" s="232"/>
      <c r="F15" s="232"/>
      <c r="G15" s="232"/>
      <c r="H15" s="232"/>
      <c r="I15" s="232"/>
      <c r="J15" s="232"/>
      <c r="K15" s="232"/>
      <c r="L15" s="231"/>
    </row>
    <row r="16" spans="2:12" x14ac:dyDescent="0.25">
      <c r="B16" s="210"/>
      <c r="C16" s="230" t="s">
        <v>4</v>
      </c>
      <c r="D16" s="229"/>
      <c r="E16" s="229"/>
      <c r="F16" s="229"/>
      <c r="G16" s="229"/>
      <c r="H16" s="229"/>
      <c r="I16" s="229"/>
      <c r="J16" s="229"/>
      <c r="K16" s="229"/>
      <c r="L16" s="209"/>
    </row>
    <row r="17" spans="2:14" x14ac:dyDescent="0.25">
      <c r="B17" s="210"/>
      <c r="C17" s="229"/>
      <c r="D17" s="229"/>
      <c r="E17" s="229"/>
      <c r="F17" s="229"/>
      <c r="G17" s="230"/>
      <c r="H17" s="229"/>
      <c r="I17" s="229"/>
      <c r="J17" s="229"/>
      <c r="K17" s="229"/>
      <c r="L17" s="209"/>
    </row>
    <row r="18" spans="2:14" ht="15" customHeight="1" x14ac:dyDescent="0.25">
      <c r="B18" s="210"/>
      <c r="C18" s="343" t="s">
        <v>208</v>
      </c>
      <c r="D18" s="343"/>
      <c r="E18" s="343"/>
      <c r="F18" s="343"/>
      <c r="G18" s="343"/>
      <c r="H18" s="343"/>
      <c r="I18" s="343"/>
      <c r="J18" s="343"/>
      <c r="K18" s="343"/>
      <c r="L18" s="209"/>
    </row>
    <row r="19" spans="2:14" x14ac:dyDescent="0.25">
      <c r="B19" s="210"/>
      <c r="C19" s="343"/>
      <c r="D19" s="343"/>
      <c r="E19" s="343"/>
      <c r="F19" s="343"/>
      <c r="G19" s="343"/>
      <c r="H19" s="343"/>
      <c r="I19" s="343"/>
      <c r="J19" s="343"/>
      <c r="K19" s="343"/>
      <c r="L19" s="209"/>
    </row>
    <row r="20" spans="2:14" x14ac:dyDescent="0.25">
      <c r="B20" s="210"/>
      <c r="C20" s="343"/>
      <c r="D20" s="343"/>
      <c r="E20" s="343"/>
      <c r="F20" s="343"/>
      <c r="G20" s="343"/>
      <c r="H20" s="343"/>
      <c r="I20" s="343"/>
      <c r="J20" s="343"/>
      <c r="K20" s="343"/>
      <c r="L20" s="209"/>
    </row>
    <row r="21" spans="2:14" ht="9" customHeight="1" x14ac:dyDescent="0.25">
      <c r="B21" s="210"/>
      <c r="C21" s="229"/>
      <c r="D21" s="229"/>
      <c r="E21" s="229"/>
      <c r="F21" s="229"/>
      <c r="G21" s="229"/>
      <c r="H21" s="229"/>
      <c r="I21" s="229"/>
      <c r="J21" s="229"/>
      <c r="K21" s="229"/>
      <c r="L21" s="209"/>
    </row>
    <row r="22" spans="2:14" ht="15" customHeight="1" x14ac:dyDescent="0.25">
      <c r="B22" s="210"/>
      <c r="C22" s="343" t="s">
        <v>168</v>
      </c>
      <c r="D22" s="343"/>
      <c r="E22" s="343"/>
      <c r="F22" s="343"/>
      <c r="G22" s="343"/>
      <c r="H22" s="343"/>
      <c r="I22" s="343"/>
      <c r="J22" s="343"/>
      <c r="K22" s="343"/>
      <c r="L22" s="209"/>
    </row>
    <row r="23" spans="2:14" x14ac:dyDescent="0.25">
      <c r="B23" s="210"/>
      <c r="C23" s="343"/>
      <c r="D23" s="343"/>
      <c r="E23" s="343"/>
      <c r="F23" s="343"/>
      <c r="G23" s="343"/>
      <c r="H23" s="343"/>
      <c r="I23" s="343"/>
      <c r="J23" s="343"/>
      <c r="K23" s="343"/>
      <c r="L23" s="209"/>
    </row>
    <row r="24" spans="2:14" x14ac:dyDescent="0.25">
      <c r="B24" s="210"/>
      <c r="C24" s="343"/>
      <c r="D24" s="343"/>
      <c r="E24" s="343"/>
      <c r="F24" s="343"/>
      <c r="G24" s="343"/>
      <c r="H24" s="343"/>
      <c r="I24" s="343"/>
      <c r="J24" s="343"/>
      <c r="K24" s="343"/>
      <c r="L24" s="209"/>
    </row>
    <row r="25" spans="2:14" ht="37.9" customHeight="1" x14ac:dyDescent="0.25">
      <c r="B25" s="210"/>
      <c r="C25" s="343"/>
      <c r="D25" s="343"/>
      <c r="E25" s="343"/>
      <c r="F25" s="343"/>
      <c r="G25" s="343"/>
      <c r="H25" s="343"/>
      <c r="I25" s="343"/>
      <c r="J25" s="343"/>
      <c r="K25" s="343"/>
      <c r="L25" s="209"/>
      <c r="N25" s="208"/>
    </row>
    <row r="26" spans="2:14" x14ac:dyDescent="0.25">
      <c r="B26" s="210"/>
      <c r="C26" s="212"/>
      <c r="D26" s="212"/>
      <c r="E26" s="212"/>
      <c r="F26" s="212"/>
      <c r="G26" s="212"/>
      <c r="H26" s="212"/>
      <c r="I26" s="212"/>
      <c r="J26" s="212"/>
      <c r="K26" s="212"/>
      <c r="L26" s="209"/>
    </row>
    <row r="27" spans="2:14" x14ac:dyDescent="0.25">
      <c r="B27" s="210"/>
      <c r="C27" s="342" t="s">
        <v>5</v>
      </c>
      <c r="D27" s="342"/>
      <c r="E27" s="342"/>
      <c r="F27" s="342"/>
      <c r="G27" s="342"/>
      <c r="H27" s="342"/>
      <c r="I27" s="342"/>
      <c r="J27" s="342"/>
      <c r="K27" s="342"/>
      <c r="L27" s="209"/>
    </row>
    <row r="28" spans="2:14" x14ac:dyDescent="0.25">
      <c r="B28" s="210"/>
      <c r="C28" s="215"/>
      <c r="D28" s="215"/>
      <c r="E28" s="215"/>
      <c r="F28" s="215"/>
      <c r="G28" s="215"/>
      <c r="H28" s="215"/>
      <c r="I28" s="215"/>
      <c r="J28" s="215"/>
      <c r="K28" s="215"/>
      <c r="L28" s="209"/>
    </row>
    <row r="29" spans="2:14" ht="230.1" customHeight="1" x14ac:dyDescent="0.25">
      <c r="B29" s="210"/>
      <c r="C29" s="343" t="s">
        <v>188</v>
      </c>
      <c r="D29" s="343"/>
      <c r="E29" s="343"/>
      <c r="F29" s="343"/>
      <c r="G29" s="343"/>
      <c r="H29" s="343"/>
      <c r="I29" s="343"/>
      <c r="J29" s="343"/>
      <c r="K29" s="343"/>
      <c r="L29" s="209"/>
    </row>
    <row r="30" spans="2:14" x14ac:dyDescent="0.25">
      <c r="B30" s="210"/>
      <c r="C30" s="215"/>
      <c r="D30" s="215"/>
      <c r="E30" s="215"/>
      <c r="F30" s="215"/>
      <c r="G30" s="215"/>
      <c r="H30" s="215"/>
      <c r="I30" s="215"/>
      <c r="J30" s="215"/>
      <c r="K30" s="215"/>
      <c r="L30" s="209"/>
      <c r="N30" s="228"/>
    </row>
    <row r="31" spans="2:14" x14ac:dyDescent="0.25">
      <c r="B31" s="210"/>
      <c r="C31" s="349" t="s">
        <v>6</v>
      </c>
      <c r="D31" s="349"/>
      <c r="E31" s="349"/>
      <c r="F31" s="349"/>
      <c r="G31" s="349"/>
      <c r="H31" s="349"/>
      <c r="I31" s="349"/>
      <c r="J31" s="349"/>
      <c r="K31" s="349"/>
      <c r="L31" s="209"/>
    </row>
    <row r="32" spans="2:14" x14ac:dyDescent="0.25">
      <c r="B32" s="210"/>
      <c r="C32" s="212"/>
      <c r="D32" s="225"/>
      <c r="E32" s="225"/>
      <c r="F32" s="225"/>
      <c r="G32" s="225"/>
      <c r="H32" s="225"/>
      <c r="I32" s="225"/>
      <c r="J32" s="225"/>
      <c r="K32" s="225"/>
      <c r="L32" s="209"/>
    </row>
    <row r="33" spans="2:14" ht="33" customHeight="1" thickBot="1" x14ac:dyDescent="0.3">
      <c r="B33" s="141"/>
      <c r="C33" s="144"/>
      <c r="D33" s="341" t="s">
        <v>182</v>
      </c>
      <c r="E33" s="341"/>
      <c r="F33" s="341"/>
      <c r="G33" s="341"/>
      <c r="H33" s="341"/>
      <c r="I33" s="341"/>
      <c r="J33" s="341"/>
      <c r="K33" s="341"/>
      <c r="L33" s="142"/>
      <c r="N33" s="226"/>
    </row>
    <row r="34" spans="2:14" ht="50.1" customHeight="1" thickTop="1" thickBot="1" x14ac:dyDescent="0.3">
      <c r="B34" s="315"/>
      <c r="C34" s="316"/>
      <c r="D34" s="145"/>
      <c r="E34" s="317"/>
      <c r="F34" s="350" t="s">
        <v>185</v>
      </c>
      <c r="G34" s="351"/>
      <c r="H34" s="351"/>
      <c r="I34" s="351"/>
      <c r="J34" s="351"/>
      <c r="K34" s="351"/>
      <c r="L34" s="318"/>
      <c r="N34" s="226"/>
    </row>
    <row r="35" spans="2:14" s="322" customFormat="1" ht="50.1" customHeight="1" thickTop="1" x14ac:dyDescent="0.2">
      <c r="B35" s="315"/>
      <c r="C35" s="316"/>
      <c r="D35" s="145"/>
      <c r="E35" s="319"/>
      <c r="F35" s="352" t="s">
        <v>189</v>
      </c>
      <c r="G35" s="352"/>
      <c r="H35" s="352"/>
      <c r="I35" s="352"/>
      <c r="J35" s="352"/>
      <c r="K35" s="352"/>
      <c r="L35" s="318"/>
      <c r="N35" s="323"/>
    </row>
    <row r="36" spans="2:14" s="322" customFormat="1" ht="50.1" customHeight="1" x14ac:dyDescent="0.2">
      <c r="B36" s="315"/>
      <c r="C36" s="316"/>
      <c r="D36" s="145"/>
      <c r="E36" s="326"/>
      <c r="F36" s="352"/>
      <c r="G36" s="352"/>
      <c r="H36" s="352"/>
      <c r="I36" s="352"/>
      <c r="J36" s="352"/>
      <c r="K36" s="352"/>
      <c r="L36" s="318"/>
      <c r="N36" s="323"/>
    </row>
    <row r="37" spans="2:14" ht="66" customHeight="1" x14ac:dyDescent="0.25">
      <c r="B37" s="315"/>
      <c r="C37" s="316"/>
      <c r="D37" s="145"/>
      <c r="E37" s="320"/>
      <c r="F37" s="352" t="s">
        <v>186</v>
      </c>
      <c r="G37" s="351"/>
      <c r="H37" s="351"/>
      <c r="I37" s="351"/>
      <c r="J37" s="351"/>
      <c r="K37" s="351"/>
      <c r="L37" s="318"/>
      <c r="N37" s="226"/>
    </row>
    <row r="38" spans="2:14" ht="15" customHeight="1" x14ac:dyDescent="0.25">
      <c r="B38" s="210"/>
      <c r="C38" s="227"/>
      <c r="D38" s="314"/>
      <c r="E38" s="314"/>
      <c r="F38" s="314"/>
      <c r="G38" s="314"/>
      <c r="H38" s="314"/>
      <c r="I38" s="314"/>
      <c r="J38" s="314"/>
      <c r="K38" s="314"/>
      <c r="L38" s="209"/>
      <c r="N38" s="226"/>
    </row>
    <row r="39" spans="2:14" ht="126" customHeight="1" x14ac:dyDescent="0.25">
      <c r="B39" s="210"/>
      <c r="C39" s="227"/>
      <c r="D39" s="343" t="s">
        <v>198</v>
      </c>
      <c r="E39" s="343"/>
      <c r="F39" s="343"/>
      <c r="G39" s="343"/>
      <c r="H39" s="343"/>
      <c r="I39" s="343"/>
      <c r="J39" s="343"/>
      <c r="K39" s="343"/>
      <c r="L39" s="209"/>
      <c r="N39" s="226"/>
    </row>
    <row r="40" spans="2:14" ht="85.5" customHeight="1" x14ac:dyDescent="0.25">
      <c r="B40" s="210"/>
      <c r="C40" s="227"/>
      <c r="D40" s="343" t="s">
        <v>199</v>
      </c>
      <c r="E40" s="343"/>
      <c r="F40" s="343"/>
      <c r="G40" s="343"/>
      <c r="H40" s="343"/>
      <c r="I40" s="343"/>
      <c r="J40" s="343"/>
      <c r="K40" s="343"/>
      <c r="L40" s="209"/>
      <c r="N40" s="226"/>
    </row>
    <row r="41" spans="2:14" ht="55.5" customHeight="1" x14ac:dyDescent="0.25">
      <c r="B41" s="210"/>
      <c r="C41" s="227"/>
      <c r="D41" s="343" t="s">
        <v>194</v>
      </c>
      <c r="E41" s="343"/>
      <c r="F41" s="343"/>
      <c r="G41" s="343"/>
      <c r="H41" s="343"/>
      <c r="I41" s="343"/>
      <c r="J41" s="343"/>
      <c r="K41" s="343"/>
      <c r="L41" s="209"/>
      <c r="N41" s="226"/>
    </row>
    <row r="42" spans="2:14" ht="113.25" customHeight="1" x14ac:dyDescent="0.25">
      <c r="B42" s="210"/>
      <c r="C42" s="227"/>
      <c r="D42" s="343" t="s">
        <v>195</v>
      </c>
      <c r="E42" s="343"/>
      <c r="F42" s="343"/>
      <c r="G42" s="343"/>
      <c r="H42" s="343"/>
      <c r="I42" s="343"/>
      <c r="J42" s="343"/>
      <c r="K42" s="343"/>
      <c r="L42" s="209"/>
      <c r="N42" s="226"/>
    </row>
    <row r="43" spans="2:14" ht="98.25" customHeight="1" x14ac:dyDescent="0.25">
      <c r="B43" s="210"/>
      <c r="C43" s="227"/>
      <c r="D43" s="343" t="s">
        <v>196</v>
      </c>
      <c r="E43" s="343"/>
      <c r="F43" s="343"/>
      <c r="G43" s="343"/>
      <c r="H43" s="343"/>
      <c r="I43" s="343"/>
      <c r="J43" s="343"/>
      <c r="K43" s="343"/>
      <c r="L43" s="209"/>
      <c r="N43" s="226"/>
    </row>
    <row r="44" spans="2:14" ht="71.25" customHeight="1" x14ac:dyDescent="0.25">
      <c r="B44" s="210"/>
      <c r="C44" s="227"/>
      <c r="D44" s="343" t="s">
        <v>197</v>
      </c>
      <c r="E44" s="343"/>
      <c r="F44" s="343"/>
      <c r="G44" s="343"/>
      <c r="H44" s="343"/>
      <c r="I44" s="343"/>
      <c r="J44" s="343"/>
      <c r="K44" s="343"/>
      <c r="L44" s="209"/>
      <c r="N44" s="226"/>
    </row>
    <row r="45" spans="2:14" x14ac:dyDescent="0.25">
      <c r="B45" s="210"/>
      <c r="C45" s="212"/>
      <c r="D45" s="225"/>
      <c r="E45" s="225"/>
      <c r="F45" s="225"/>
      <c r="G45" s="225"/>
      <c r="H45" s="225"/>
      <c r="I45" s="225"/>
      <c r="J45" s="225"/>
      <c r="K45" s="225"/>
      <c r="L45" s="209"/>
    </row>
    <row r="46" spans="2:14" ht="61.9" customHeight="1" x14ac:dyDescent="0.25">
      <c r="B46" s="210"/>
      <c r="C46" s="220"/>
      <c r="D46" s="343" t="s">
        <v>134</v>
      </c>
      <c r="E46" s="343"/>
      <c r="F46" s="343"/>
      <c r="G46" s="343"/>
      <c r="H46" s="343"/>
      <c r="I46" s="343"/>
      <c r="J46" s="343"/>
      <c r="K46" s="343"/>
      <c r="L46" s="209"/>
    </row>
    <row r="47" spans="2:14" ht="32.450000000000003" customHeight="1" x14ac:dyDescent="0.25">
      <c r="B47" s="210"/>
      <c r="C47" s="220"/>
      <c r="D47" s="343" t="s">
        <v>7</v>
      </c>
      <c r="E47" s="343"/>
      <c r="F47" s="343"/>
      <c r="G47" s="343"/>
      <c r="H47" s="343"/>
      <c r="I47" s="343"/>
      <c r="J47" s="343"/>
      <c r="K47" s="343"/>
      <c r="L47" s="209"/>
    </row>
    <row r="48" spans="2:14" ht="33.6" customHeight="1" x14ac:dyDescent="0.25">
      <c r="B48" s="210"/>
      <c r="C48" s="220"/>
      <c r="D48" s="222"/>
      <c r="E48" s="218"/>
      <c r="F48" s="345" t="s">
        <v>116</v>
      </c>
      <c r="G48" s="345"/>
      <c r="H48" s="345"/>
      <c r="I48" s="345"/>
      <c r="J48" s="345"/>
      <c r="K48" s="345"/>
      <c r="L48" s="209"/>
    </row>
    <row r="49" spans="2:22" ht="32.25" customHeight="1" x14ac:dyDescent="0.25">
      <c r="B49" s="210"/>
      <c r="C49" s="220"/>
      <c r="D49" s="222"/>
      <c r="E49" s="224"/>
      <c r="F49" s="345" t="s">
        <v>169</v>
      </c>
      <c r="G49" s="345"/>
      <c r="H49" s="345"/>
      <c r="I49" s="345"/>
      <c r="J49" s="345"/>
      <c r="K49" s="345"/>
      <c r="L49" s="209"/>
    </row>
    <row r="50" spans="2:22" ht="92.25" customHeight="1" x14ac:dyDescent="0.25">
      <c r="B50" s="210"/>
      <c r="C50" s="220"/>
      <c r="D50" s="222"/>
      <c r="E50" s="223"/>
      <c r="F50" s="345" t="s">
        <v>8</v>
      </c>
      <c r="G50" s="345"/>
      <c r="H50" s="345"/>
      <c r="I50" s="345"/>
      <c r="J50" s="345"/>
      <c r="K50" s="345"/>
      <c r="L50" s="209"/>
    </row>
    <row r="51" spans="2:22" ht="23.25" customHeight="1" x14ac:dyDescent="0.25">
      <c r="B51" s="210"/>
      <c r="C51" s="220"/>
      <c r="D51" s="222"/>
      <c r="E51" s="221"/>
      <c r="F51" s="345" t="s">
        <v>9</v>
      </c>
      <c r="G51" s="345"/>
      <c r="H51" s="345"/>
      <c r="I51" s="345"/>
      <c r="J51" s="345"/>
      <c r="K51" s="345"/>
      <c r="L51" s="209"/>
    </row>
    <row r="52" spans="2:22" ht="45.75" customHeight="1" x14ac:dyDescent="0.25">
      <c r="B52" s="210"/>
      <c r="C52" s="220"/>
      <c r="D52" s="343" t="s">
        <v>170</v>
      </c>
      <c r="E52" s="343"/>
      <c r="F52" s="343"/>
      <c r="G52" s="343"/>
      <c r="H52" s="343"/>
      <c r="I52" s="343"/>
      <c r="J52" s="343"/>
      <c r="K52" s="343"/>
      <c r="L52" s="209"/>
    </row>
    <row r="53" spans="2:22" x14ac:dyDescent="0.25">
      <c r="B53" s="210"/>
      <c r="C53" s="212"/>
      <c r="D53" s="212"/>
      <c r="E53" s="212"/>
      <c r="F53" s="212"/>
      <c r="G53" s="212"/>
      <c r="H53" s="212"/>
      <c r="I53" s="212"/>
      <c r="J53" s="212"/>
      <c r="K53" s="212"/>
      <c r="L53" s="209"/>
    </row>
    <row r="54" spans="2:22" s="140" customFormat="1" ht="82.5" customHeight="1" x14ac:dyDescent="0.25">
      <c r="B54" s="141"/>
      <c r="C54" s="341" t="s">
        <v>142</v>
      </c>
      <c r="D54" s="341"/>
      <c r="E54" s="341"/>
      <c r="F54" s="341"/>
      <c r="G54" s="341"/>
      <c r="H54" s="341"/>
      <c r="I54" s="341"/>
      <c r="J54" s="341"/>
      <c r="K54" s="341"/>
      <c r="L54" s="142"/>
      <c r="N54" s="205"/>
      <c r="O54" s="205"/>
      <c r="P54" s="205"/>
      <c r="Q54" s="205"/>
      <c r="R54" s="205"/>
      <c r="S54" s="205"/>
      <c r="T54" s="205"/>
      <c r="U54" s="205"/>
      <c r="V54" s="205"/>
    </row>
    <row r="55" spans="2:22" s="140" customFormat="1" x14ac:dyDescent="0.25">
      <c r="B55" s="141"/>
      <c r="C55" s="156"/>
      <c r="D55" s="268"/>
      <c r="E55" s="268"/>
      <c r="F55" s="268"/>
      <c r="G55" s="268"/>
      <c r="H55" s="268"/>
      <c r="I55" s="268"/>
      <c r="J55" s="268"/>
      <c r="K55" s="268"/>
      <c r="L55" s="142"/>
      <c r="N55" s="264"/>
    </row>
    <row r="56" spans="2:22" s="140" customFormat="1" ht="48" customHeight="1" x14ac:dyDescent="0.25">
      <c r="B56" s="141"/>
      <c r="C56" s="272"/>
      <c r="D56" s="347" t="s">
        <v>209</v>
      </c>
      <c r="E56" s="347"/>
      <c r="F56" s="347"/>
      <c r="G56" s="347"/>
      <c r="H56" s="347"/>
      <c r="I56" s="347"/>
      <c r="J56" s="347"/>
      <c r="K56" s="347"/>
      <c r="L56" s="142"/>
      <c r="N56" s="264"/>
    </row>
    <row r="57" spans="2:22" s="140" customFormat="1" x14ac:dyDescent="0.25">
      <c r="B57" s="141"/>
      <c r="C57" s="156"/>
      <c r="D57" s="321"/>
      <c r="E57" s="321"/>
      <c r="F57" s="321"/>
      <c r="G57" s="321"/>
      <c r="H57" s="321"/>
      <c r="I57" s="321"/>
      <c r="J57" s="321"/>
      <c r="K57" s="321"/>
      <c r="L57" s="142"/>
      <c r="N57" s="264"/>
    </row>
    <row r="58" spans="2:22" s="140" customFormat="1" ht="47.25" customHeight="1" x14ac:dyDescent="0.25">
      <c r="B58" s="141"/>
      <c r="C58" s="273"/>
      <c r="D58" s="347" t="s">
        <v>136</v>
      </c>
      <c r="E58" s="347"/>
      <c r="F58" s="347"/>
      <c r="G58" s="347"/>
      <c r="H58" s="347"/>
      <c r="I58" s="347"/>
      <c r="J58" s="347"/>
      <c r="K58" s="347"/>
      <c r="L58" s="142"/>
      <c r="N58" s="264"/>
    </row>
    <row r="59" spans="2:22" s="140" customFormat="1" x14ac:dyDescent="0.25">
      <c r="B59" s="141"/>
      <c r="C59" s="156"/>
      <c r="D59" s="321"/>
      <c r="E59" s="321"/>
      <c r="F59" s="321"/>
      <c r="G59" s="321"/>
      <c r="H59" s="321"/>
      <c r="I59" s="321"/>
      <c r="J59" s="321"/>
      <c r="K59" s="321"/>
      <c r="L59" s="142"/>
    </row>
    <row r="60" spans="2:22" ht="65.25" customHeight="1" x14ac:dyDescent="0.25">
      <c r="B60" s="210"/>
      <c r="C60" s="219"/>
      <c r="D60" s="345" t="s">
        <v>140</v>
      </c>
      <c r="E60" s="345"/>
      <c r="F60" s="345"/>
      <c r="G60" s="345"/>
      <c r="H60" s="345"/>
      <c r="I60" s="345"/>
      <c r="J60" s="345"/>
      <c r="K60" s="345"/>
      <c r="L60" s="209"/>
    </row>
    <row r="61" spans="2:22" s="140" customFormat="1" x14ac:dyDescent="0.25">
      <c r="B61" s="141"/>
      <c r="C61" s="156"/>
      <c r="D61" s="156"/>
      <c r="E61" s="156"/>
      <c r="F61" s="156"/>
      <c r="G61" s="156"/>
      <c r="H61" s="156"/>
      <c r="I61" s="156"/>
      <c r="J61" s="156"/>
      <c r="K61" s="156"/>
      <c r="L61" s="142"/>
    </row>
    <row r="62" spans="2:22" ht="46.15" customHeight="1" x14ac:dyDescent="0.25">
      <c r="B62" s="210"/>
      <c r="C62" s="348" t="s">
        <v>141</v>
      </c>
      <c r="D62" s="348"/>
      <c r="E62" s="348"/>
      <c r="F62" s="348"/>
      <c r="G62" s="348"/>
      <c r="H62" s="348"/>
      <c r="I62" s="348"/>
      <c r="J62" s="348"/>
      <c r="K62" s="348"/>
      <c r="L62" s="209"/>
    </row>
    <row r="63" spans="2:22" ht="46.15" customHeight="1" x14ac:dyDescent="0.25">
      <c r="B63" s="210"/>
      <c r="C63" s="212"/>
      <c r="D63" s="218"/>
      <c r="E63" s="346" t="s">
        <v>122</v>
      </c>
      <c r="F63" s="346"/>
      <c r="G63" s="346"/>
      <c r="H63" s="346"/>
      <c r="I63" s="346"/>
      <c r="J63" s="346"/>
      <c r="K63" s="346"/>
      <c r="L63" s="209"/>
    </row>
    <row r="64" spans="2:22" ht="45.6" customHeight="1" x14ac:dyDescent="0.25">
      <c r="B64" s="210"/>
      <c r="C64" s="212"/>
      <c r="D64" s="217"/>
      <c r="E64" s="346" t="s">
        <v>135</v>
      </c>
      <c r="F64" s="346"/>
      <c r="G64" s="346"/>
      <c r="H64" s="346"/>
      <c r="I64" s="346"/>
      <c r="J64" s="346"/>
      <c r="K64" s="346"/>
      <c r="L64" s="209"/>
    </row>
    <row r="65" spans="2:14" ht="45" customHeight="1" x14ac:dyDescent="0.25">
      <c r="B65" s="210"/>
      <c r="C65" s="212"/>
      <c r="D65" s="216"/>
      <c r="E65" s="346" t="s">
        <v>114</v>
      </c>
      <c r="F65" s="346"/>
      <c r="G65" s="346"/>
      <c r="H65" s="346"/>
      <c r="I65" s="346"/>
      <c r="J65" s="346"/>
      <c r="K65" s="346"/>
      <c r="L65" s="209"/>
    </row>
    <row r="66" spans="2:14" x14ac:dyDescent="0.25">
      <c r="B66" s="210"/>
      <c r="C66" s="212"/>
      <c r="D66" s="214"/>
      <c r="E66" s="214"/>
      <c r="F66" s="213"/>
      <c r="G66" s="213"/>
      <c r="H66" s="213"/>
      <c r="I66" s="213"/>
      <c r="J66" s="213"/>
      <c r="K66" s="213"/>
      <c r="L66" s="209"/>
    </row>
    <row r="67" spans="2:14" x14ac:dyDescent="0.25">
      <c r="B67" s="210"/>
      <c r="C67" s="212"/>
      <c r="D67" s="211"/>
      <c r="E67" s="211"/>
      <c r="F67" s="211"/>
      <c r="G67" s="211"/>
      <c r="H67" s="211"/>
      <c r="I67" s="211"/>
      <c r="J67" s="211"/>
      <c r="K67" s="211"/>
      <c r="L67" s="209"/>
    </row>
    <row r="68" spans="2:14" ht="17.45" customHeight="1" x14ac:dyDescent="0.25">
      <c r="B68" s="210"/>
      <c r="C68" s="342" t="s">
        <v>10</v>
      </c>
      <c r="D68" s="342"/>
      <c r="E68" s="342"/>
      <c r="F68" s="342"/>
      <c r="G68" s="342"/>
      <c r="H68" s="342"/>
      <c r="I68" s="342"/>
      <c r="J68" s="342"/>
      <c r="K68" s="342"/>
      <c r="L68" s="209"/>
    </row>
    <row r="69" spans="2:14" ht="30" customHeight="1" x14ac:dyDescent="0.25">
      <c r="B69" s="210"/>
      <c r="C69" s="343" t="s">
        <v>190</v>
      </c>
      <c r="D69" s="343"/>
      <c r="E69" s="343"/>
      <c r="F69" s="343"/>
      <c r="G69" s="343"/>
      <c r="H69" s="343"/>
      <c r="I69" s="343"/>
      <c r="J69" s="343"/>
      <c r="K69" s="343"/>
      <c r="L69" s="209"/>
      <c r="N69" s="208"/>
    </row>
    <row r="70" spans="2:14" ht="15" customHeight="1" x14ac:dyDescent="0.25">
      <c r="B70" s="210"/>
      <c r="C70" s="305"/>
      <c r="D70" s="305"/>
      <c r="E70" s="305"/>
      <c r="F70" s="305"/>
      <c r="G70" s="305"/>
      <c r="H70" s="305"/>
      <c r="I70" s="305"/>
      <c r="J70" s="305"/>
      <c r="K70" s="305"/>
      <c r="L70" s="209"/>
      <c r="N70" s="208"/>
    </row>
    <row r="71" spans="2:14" ht="105" customHeight="1" x14ac:dyDescent="0.25">
      <c r="B71" s="210"/>
      <c r="C71" s="306"/>
      <c r="D71" s="341" t="s">
        <v>191</v>
      </c>
      <c r="E71" s="341"/>
      <c r="F71" s="341"/>
      <c r="G71" s="341"/>
      <c r="H71" s="341"/>
      <c r="I71" s="341"/>
      <c r="J71" s="341"/>
      <c r="K71" s="341"/>
      <c r="L71" s="209"/>
      <c r="N71" s="208"/>
    </row>
    <row r="72" spans="2:14" x14ac:dyDescent="0.25">
      <c r="B72" s="207"/>
      <c r="C72" s="344"/>
      <c r="D72" s="344"/>
      <c r="E72" s="344"/>
      <c r="F72" s="344"/>
      <c r="G72" s="344"/>
      <c r="H72" s="344"/>
      <c r="I72" s="344"/>
      <c r="J72" s="344"/>
      <c r="K72" s="344"/>
      <c r="L72" s="206"/>
    </row>
  </sheetData>
  <mergeCells count="34">
    <mergeCell ref="D41:K41"/>
    <mergeCell ref="D44:K44"/>
    <mergeCell ref="D46:K46"/>
    <mergeCell ref="C18:K20"/>
    <mergeCell ref="C22:K25"/>
    <mergeCell ref="C27:K27"/>
    <mergeCell ref="C29:K29"/>
    <mergeCell ref="C31:K31"/>
    <mergeCell ref="D39:K39"/>
    <mergeCell ref="D42:K42"/>
    <mergeCell ref="D43:K43"/>
    <mergeCell ref="D33:K33"/>
    <mergeCell ref="F34:K34"/>
    <mergeCell ref="F35:K36"/>
    <mergeCell ref="F37:K37"/>
    <mergeCell ref="D40:K40"/>
    <mergeCell ref="D52:K52"/>
    <mergeCell ref="C54:K54"/>
    <mergeCell ref="D56:K56"/>
    <mergeCell ref="D58:K58"/>
    <mergeCell ref="C62:K62"/>
    <mergeCell ref="D47:K47"/>
    <mergeCell ref="F48:K48"/>
    <mergeCell ref="F49:K49"/>
    <mergeCell ref="F50:K50"/>
    <mergeCell ref="F51:K51"/>
    <mergeCell ref="D71:K71"/>
    <mergeCell ref="C68:K68"/>
    <mergeCell ref="C69:K69"/>
    <mergeCell ref="C72:K72"/>
    <mergeCell ref="D60:K60"/>
    <mergeCell ref="E63:K63"/>
    <mergeCell ref="E64:K64"/>
    <mergeCell ref="E65:K65"/>
  </mergeCells>
  <hyperlinks>
    <hyperlink ref="G8" r:id="rId1" xr:uid="{514B8F5D-48FA-4646-BB6A-B8A1732DB7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BE0D0-D2DD-463B-BF84-FF947CA2FC7F}">
  <sheetPr codeName="Sheet14">
    <tabColor theme="0" tint="-0.14999847407452621"/>
  </sheetPr>
  <dimension ref="C2:V152"/>
  <sheetViews>
    <sheetView tabSelected="1" zoomScale="80" zoomScaleNormal="80" workbookViewId="0">
      <selection activeCell="M27" sqref="M27"/>
    </sheetView>
  </sheetViews>
  <sheetFormatPr defaultColWidth="8.7109375" defaultRowHeight="12.75" x14ac:dyDescent="0.2"/>
  <cols>
    <col min="1" max="3" width="8.7109375" style="4"/>
    <col min="4" max="5" width="17.7109375" style="4" customWidth="1"/>
    <col min="6" max="6" width="16.42578125" style="4" customWidth="1"/>
    <col min="7" max="7" width="20.7109375" style="4" customWidth="1"/>
    <col min="8" max="8" width="21.140625" style="4" customWidth="1"/>
    <col min="9" max="9" width="22" style="4" customWidth="1"/>
    <col min="10" max="10" width="25" style="4" customWidth="1"/>
    <col min="11" max="16" width="20.7109375" style="4" customWidth="1"/>
    <col min="17" max="17" width="8.7109375" style="4" customWidth="1"/>
    <col min="18" max="20" width="8.7109375" style="4"/>
    <col min="21" max="21" width="8.7109375" style="86"/>
    <col min="22" max="22" width="8.7109375" style="340"/>
    <col min="23" max="16384" width="8.7109375" style="4"/>
  </cols>
  <sheetData>
    <row r="2" spans="3:22" x14ac:dyDescent="0.2">
      <c r="U2" s="86">
        <v>4</v>
      </c>
      <c r="V2" s="340">
        <v>-1.5</v>
      </c>
    </row>
    <row r="3" spans="3:22" ht="12.75" customHeight="1" x14ac:dyDescent="0.2">
      <c r="D3" s="359" t="s">
        <v>115</v>
      </c>
      <c r="E3" s="360"/>
      <c r="F3" s="361"/>
      <c r="H3" s="303"/>
      <c r="I3" s="303"/>
      <c r="J3" s="303"/>
      <c r="K3" s="303"/>
      <c r="U3" s="86">
        <v>7</v>
      </c>
      <c r="V3" s="340">
        <v>-1.48</v>
      </c>
    </row>
    <row r="4" spans="3:22" ht="13.5" customHeight="1" thickBot="1" x14ac:dyDescent="0.25">
      <c r="D4" s="155" t="s">
        <v>11</v>
      </c>
      <c r="E4" s="7"/>
      <c r="F4" s="29" t="s">
        <v>113</v>
      </c>
      <c r="H4" s="303"/>
      <c r="I4" s="303"/>
      <c r="J4" s="303"/>
      <c r="K4" s="303"/>
      <c r="V4" s="340">
        <v>-1.46</v>
      </c>
    </row>
    <row r="5" spans="3:22" ht="14.25" customHeight="1" thickTop="1" thickBot="1" x14ac:dyDescent="0.25">
      <c r="D5" s="154" t="s">
        <v>184</v>
      </c>
      <c r="E5" s="192"/>
      <c r="F5" s="138">
        <v>4</v>
      </c>
      <c r="H5" s="303"/>
      <c r="I5" s="303"/>
      <c r="J5" s="303"/>
      <c r="K5" s="303"/>
      <c r="V5" s="340">
        <v>-1.44</v>
      </c>
    </row>
    <row r="6" spans="3:22" ht="14.45" customHeight="1" thickTop="1" thickBot="1" x14ac:dyDescent="0.25">
      <c r="C6" s="311" t="s">
        <v>180</v>
      </c>
      <c r="D6" s="154" t="s">
        <v>125</v>
      </c>
      <c r="E6" s="200"/>
      <c r="F6" s="243">
        <v>0.02</v>
      </c>
      <c r="H6" s="303"/>
      <c r="I6" s="303"/>
      <c r="J6" s="303"/>
      <c r="K6" s="303"/>
      <c r="V6" s="340">
        <v>-1.42</v>
      </c>
    </row>
    <row r="7" spans="3:22" ht="14.25" customHeight="1" thickTop="1" thickBot="1" x14ac:dyDescent="0.25">
      <c r="C7" s="311" t="s">
        <v>179</v>
      </c>
      <c r="D7" s="175" t="s">
        <v>126</v>
      </c>
      <c r="E7" s="176"/>
      <c r="F7" s="139">
        <v>0</v>
      </c>
      <c r="H7" s="303"/>
      <c r="I7" s="303"/>
      <c r="J7" s="303"/>
      <c r="K7" s="303"/>
      <c r="V7" s="340">
        <v>-1.4</v>
      </c>
    </row>
    <row r="8" spans="3:22" ht="13.5" thickTop="1" x14ac:dyDescent="0.2">
      <c r="D8" s="5"/>
      <c r="F8" s="6"/>
      <c r="V8" s="340">
        <v>-1.38</v>
      </c>
    </row>
    <row r="9" spans="3:22" ht="18" customHeight="1" x14ac:dyDescent="0.2">
      <c r="D9" s="5"/>
      <c r="F9" s="6"/>
      <c r="H9" s="384" t="s">
        <v>121</v>
      </c>
      <c r="I9" s="377"/>
      <c r="J9" s="378"/>
      <c r="K9" s="266"/>
      <c r="V9" s="340">
        <v>-1.3599999999999999</v>
      </c>
    </row>
    <row r="10" spans="3:22" ht="29.45" customHeight="1" x14ac:dyDescent="0.2">
      <c r="F10" s="192"/>
      <c r="H10" s="362" t="s">
        <v>120</v>
      </c>
      <c r="I10" s="363"/>
      <c r="J10" s="382" t="s">
        <v>143</v>
      </c>
      <c r="K10" s="267"/>
      <c r="P10" s="241"/>
      <c r="V10" s="340">
        <v>-1.3399999999999999</v>
      </c>
    </row>
    <row r="11" spans="3:22" ht="49.5" customHeight="1" x14ac:dyDescent="0.2">
      <c r="D11" s="244"/>
      <c r="E11" s="244"/>
      <c r="F11" s="244"/>
      <c r="H11" s="265" t="s">
        <v>119</v>
      </c>
      <c r="I11" s="265" t="str">
        <f>"Debt below 60% of GDP in T+"&amp;10+F5</f>
        <v>Debt below 60% of GDP in T+14</v>
      </c>
      <c r="J11" s="383"/>
      <c r="K11" s="357"/>
      <c r="L11" s="358"/>
      <c r="M11" s="358"/>
      <c r="N11" s="358"/>
      <c r="O11" s="358"/>
      <c r="P11" s="358"/>
      <c r="V11" s="340">
        <v>-1.3199999999999998</v>
      </c>
    </row>
    <row r="12" spans="3:22" ht="45" customHeight="1" x14ac:dyDescent="0.2">
      <c r="C12" s="311" t="s">
        <v>180</v>
      </c>
      <c r="D12" s="376" t="s">
        <v>200</v>
      </c>
      <c r="E12" s="377"/>
      <c r="F12" s="377"/>
      <c r="G12" s="378"/>
      <c r="H12" s="204" t="str">
        <f ca="1">IF(MIN(OFFSET('Adjustment scenario'!$F$77,0,$F$5,1,11))&gt;-3.05,"ok","Not met")</f>
        <v>ok</v>
      </c>
      <c r="I12" s="204" t="str">
        <f ca="1">IF(OFFSET('Adjustment scenario'!$F$57,0,$F$5+10,1,1)&lt;60,"ok","Not met")</f>
        <v>ok</v>
      </c>
      <c r="J12" s="204" t="str">
        <f>IF(AND($F$5=4,COUNTIF(G18:J18,"&gt;" &amp; F6)=0),"Not binding",IF(AND($F$5=7,COUNTIF(G18:M18,"&gt;" &amp; F6)=0),"Not binding","Binding"))</f>
        <v>Binding</v>
      </c>
      <c r="K12" s="355" t="str">
        <f ca="1">IF(OR($H$13="Not met",$I$13="Not met"),"Please adjust cell F7 so that both DSA-based criteria are met",
IF($F$6&lt;$F$7,"The adjustment in F6 cannot be lower than in F7",
IF(AND($H$12="ok",$I$12="ok",$H$13="ok",$I$13="ok",$F$6&gt;=$F$7,
OR(AND($F$5=4,$G$18&gt;=$H$18,$H$18&gt;=$I$18,$I$18&gt;=$J$18,OR($J$18&gt;=0.4,$J$19&gt;-1.55)),
AND($F$5=7,$G$18&gt;=$H$18,$H$18&gt;=$I$18,$I$18&gt;=$J$18,$J$18&gt;=$K$18,$K$18&gt;=$L$18,$L$18&gt;=$M$18,OR($M$18&gt;=0.25,$M$19&gt;-1.55)))),
"OK"&amp;CHAR(10)&amp;"The adjustment in F6 fulfills all requirements including the deficit resilience safeguard",
"NOT OK"&amp;CHAR(10)&amp;"The adjustment in F6 does not fulfill all requirements")))</f>
        <v>OK
The adjustment in F6 fulfills all requirements including the deficit resilience safeguard</v>
      </c>
      <c r="L12" s="356"/>
      <c r="M12" s="356"/>
      <c r="N12" s="356"/>
      <c r="O12" s="356"/>
      <c r="P12" s="356"/>
      <c r="Q12" s="307"/>
      <c r="V12" s="340">
        <v>-1.3</v>
      </c>
    </row>
    <row r="13" spans="3:22" ht="45" customHeight="1" x14ac:dyDescent="0.2">
      <c r="C13" s="311" t="s">
        <v>179</v>
      </c>
      <c r="D13" s="376" t="s">
        <v>201</v>
      </c>
      <c r="E13" s="377"/>
      <c r="F13" s="377"/>
      <c r="G13" s="378"/>
      <c r="H13" s="204" t="str">
        <f ca="1">IF(MIN(OFFSET('Adjust. no safeguard'!$F$77,0,$F$5,1,11))&gt;-3.05,"ok","Not met")</f>
        <v>ok</v>
      </c>
      <c r="I13" s="204" t="str">
        <f ca="1">IF(OFFSET('Adjust. no safeguard'!$F$57,0,$F$5+10,1,1)&lt;60,"ok","Not met")</f>
        <v>ok</v>
      </c>
      <c r="J13" s="257"/>
      <c r="K13" s="355" t="str">
        <f ca="1">IF(AND($H$13="ok",$I$13="ok"),
"OK"&amp;CHAR(10)&amp;"The adjustment in F7 ensures that the debt and deficit remain"&amp;CHAR(10)&amp;"below the Treaty reference values over the medium term",
"NOT OK"&amp;CHAR(10)&amp;"The adjustment in F7 does not ensure that the debt and deficit remain"&amp;CHAR(10)&amp;"below the Treaty reference values over the medium term")</f>
        <v>OK
The adjustment in F7 ensures that the debt and deficit remain
below the Treaty reference values over the medium term</v>
      </c>
      <c r="L13" s="356"/>
      <c r="M13" s="356"/>
      <c r="N13" s="356"/>
      <c r="O13" s="356"/>
      <c r="P13" s="356"/>
      <c r="Q13" s="307"/>
      <c r="V13" s="340">
        <v>-1.28</v>
      </c>
    </row>
    <row r="14" spans="3:22" ht="34.5" customHeight="1" x14ac:dyDescent="0.2">
      <c r="D14" s="354" t="s">
        <v>192</v>
      </c>
      <c r="E14" s="354"/>
      <c r="F14" s="354"/>
      <c r="G14" s="354"/>
      <c r="H14" s="354"/>
      <c r="I14" s="354"/>
      <c r="J14" s="354"/>
      <c r="K14" s="258"/>
      <c r="L14" s="307"/>
      <c r="M14" s="307"/>
      <c r="V14" s="340">
        <v>-1.26</v>
      </c>
    </row>
    <row r="15" spans="3:22" ht="12.75" customHeight="1" x14ac:dyDescent="0.2">
      <c r="K15" s="258"/>
      <c r="L15" s="307"/>
      <c r="M15" s="307"/>
      <c r="V15" s="340">
        <v>-1.24</v>
      </c>
    </row>
    <row r="16" spans="3:22" ht="15.75" customHeight="1" x14ac:dyDescent="0.2">
      <c r="D16" s="237"/>
      <c r="E16" s="237"/>
      <c r="F16" s="237"/>
      <c r="G16" s="370" t="s">
        <v>138</v>
      </c>
      <c r="H16" s="371"/>
      <c r="I16" s="371"/>
      <c r="J16" s="372"/>
      <c r="K16" s="173"/>
      <c r="L16" s="307"/>
      <c r="M16" s="307"/>
      <c r="N16" s="173"/>
      <c r="O16" s="173"/>
      <c r="P16" s="164"/>
      <c r="V16" s="340">
        <v>-1.22</v>
      </c>
    </row>
    <row r="17" spans="4:22" ht="13.5" customHeight="1" x14ac:dyDescent="0.2">
      <c r="D17" s="237"/>
      <c r="E17" s="159"/>
      <c r="F17" s="165"/>
      <c r="G17" s="160">
        <v>2025</v>
      </c>
      <c r="H17" s="161">
        <v>2026</v>
      </c>
      <c r="I17" s="161">
        <v>2027</v>
      </c>
      <c r="J17" s="161">
        <v>2028</v>
      </c>
      <c r="K17" s="161">
        <v>2029</v>
      </c>
      <c r="L17" s="161">
        <v>2030</v>
      </c>
      <c r="M17" s="174">
        <v>2031</v>
      </c>
      <c r="N17" s="166"/>
      <c r="P17" s="166"/>
      <c r="V17" s="340">
        <v>-1.2</v>
      </c>
    </row>
    <row r="18" spans="4:22" ht="15" customHeight="1" x14ac:dyDescent="0.2">
      <c r="D18" s="373" t="s">
        <v>14</v>
      </c>
      <c r="E18" s="374"/>
      <c r="F18" s="375"/>
      <c r="G18" s="163">
        <f>'Adjustment scenario'!G12-'Adjustment scenario'!F12</f>
        <v>0.39999999999999991</v>
      </c>
      <c r="H18" s="170">
        <f>'Adjustment scenario'!H12-'Adjustment scenario'!G12</f>
        <v>0.39999999999999991</v>
      </c>
      <c r="I18" s="170">
        <f>'Adjustment scenario'!I12-'Adjustment scenario'!H12</f>
        <v>0.4</v>
      </c>
      <c r="J18" s="170">
        <f>'Adjustment scenario'!J12-'Adjustment scenario'!I12</f>
        <v>2.0000000000000018E-2</v>
      </c>
      <c r="K18" s="170">
        <f>'Adjustment scenario'!K12-'Adjustment scenario'!J12</f>
        <v>0</v>
      </c>
      <c r="L18" s="170">
        <f>'Adjustment scenario'!L12-'Adjustment scenario'!K12</f>
        <v>0</v>
      </c>
      <c r="M18" s="171">
        <f>'Adjustment scenario'!M12-'Adjustment scenario'!L12</f>
        <v>0</v>
      </c>
      <c r="N18" s="163"/>
      <c r="P18" s="163"/>
      <c r="V18" s="340">
        <v>-1.1800000000000002</v>
      </c>
    </row>
    <row r="19" spans="4:22" ht="15" customHeight="1" x14ac:dyDescent="0.2">
      <c r="D19" s="199" t="s">
        <v>20</v>
      </c>
      <c r="E19" s="193"/>
      <c r="F19" s="194"/>
      <c r="G19" s="195">
        <f>'Adjustment scenario'!G78</f>
        <v>-2.2742497543085358</v>
      </c>
      <c r="H19" s="196">
        <f>'Adjustment scenario'!H78</f>
        <v>-1.8286702922695104</v>
      </c>
      <c r="I19" s="196">
        <f>'Adjustment scenario'!I78</f>
        <v>-1.4990600393556277</v>
      </c>
      <c r="J19" s="196">
        <f>'Adjustment scenario'!J78</f>
        <v>-1.541915239683179</v>
      </c>
      <c r="K19" s="196">
        <f>'Adjustment scenario'!K78</f>
        <v>-1.455111250266409</v>
      </c>
      <c r="L19" s="196">
        <f>'Adjustment scenario'!L78</f>
        <v>-1.4217765967072717</v>
      </c>
      <c r="M19" s="198">
        <f>'Adjustment scenario'!M78</f>
        <v>-1.3918204376578114</v>
      </c>
      <c r="N19" s="182"/>
      <c r="P19" s="163"/>
      <c r="V19" s="340">
        <v>-1.1600000000000001</v>
      </c>
    </row>
    <row r="20" spans="4:22" ht="15" customHeight="1" x14ac:dyDescent="0.2">
      <c r="D20" s="367" t="s">
        <v>118</v>
      </c>
      <c r="E20" s="368"/>
      <c r="F20" s="369"/>
      <c r="G20" s="324"/>
      <c r="H20" s="325"/>
      <c r="I20" s="325"/>
      <c r="J20" s="325">
        <f>IF(F5=4,'Adjustment scenario'!J12,"")</f>
        <v>-0.86992999999999998</v>
      </c>
      <c r="K20" s="251"/>
      <c r="L20" s="251"/>
      <c r="M20" s="252" t="str">
        <f>IF(F5=7,'Adjustment scenario'!M12,"")</f>
        <v/>
      </c>
      <c r="N20" s="182"/>
      <c r="P20" s="163"/>
      <c r="V20" s="340">
        <v>-1.1400000000000001</v>
      </c>
    </row>
    <row r="21" spans="4:22" ht="15" customHeight="1" x14ac:dyDescent="0.2">
      <c r="D21" s="354" t="s">
        <v>139</v>
      </c>
      <c r="E21" s="354"/>
      <c r="F21" s="354"/>
      <c r="G21" s="354"/>
      <c r="H21" s="354"/>
      <c r="I21" s="354"/>
      <c r="J21" s="354"/>
      <c r="K21" s="197"/>
      <c r="L21" s="197"/>
      <c r="M21" s="197"/>
      <c r="N21" s="182"/>
      <c r="P21" s="163"/>
      <c r="V21" s="340">
        <v>-1.1200000000000001</v>
      </c>
    </row>
    <row r="22" spans="4:22" ht="15" customHeight="1" x14ac:dyDescent="0.2">
      <c r="D22" s="247"/>
      <c r="E22" s="247"/>
      <c r="F22" s="247"/>
      <c r="G22" s="256"/>
      <c r="H22" s="169"/>
      <c r="I22" s="169"/>
      <c r="J22" s="169"/>
      <c r="K22" s="196"/>
      <c r="L22" s="196"/>
      <c r="M22" s="196"/>
      <c r="N22" s="182"/>
      <c r="P22" s="163"/>
      <c r="V22" s="340">
        <v>-1.1000000000000001</v>
      </c>
    </row>
    <row r="23" spans="4:22" ht="15" customHeight="1" x14ac:dyDescent="0.2">
      <c r="D23" s="247"/>
      <c r="E23" s="247"/>
      <c r="F23" s="248"/>
      <c r="G23" s="370" t="s">
        <v>128</v>
      </c>
      <c r="H23" s="371"/>
      <c r="I23" s="371"/>
      <c r="J23" s="372"/>
      <c r="K23" s="196"/>
      <c r="L23" s="196"/>
      <c r="M23" s="169"/>
      <c r="N23" s="182"/>
      <c r="P23" s="163"/>
      <c r="V23" s="340">
        <v>-1.08</v>
      </c>
    </row>
    <row r="24" spans="4:22" ht="15" customHeight="1" x14ac:dyDescent="0.2">
      <c r="D24" s="255"/>
      <c r="E24" s="247"/>
      <c r="F24" s="248"/>
      <c r="G24" s="160">
        <v>2025</v>
      </c>
      <c r="H24" s="161">
        <v>2026</v>
      </c>
      <c r="I24" s="161">
        <v>2027</v>
      </c>
      <c r="J24" s="161">
        <v>2028</v>
      </c>
      <c r="K24" s="161">
        <v>2029</v>
      </c>
      <c r="L24" s="161">
        <v>2030</v>
      </c>
      <c r="M24" s="174">
        <v>2031</v>
      </c>
      <c r="N24" s="182"/>
      <c r="P24" s="163"/>
      <c r="V24" s="340">
        <v>-1.06</v>
      </c>
    </row>
    <row r="25" spans="4:22" ht="15" customHeight="1" x14ac:dyDescent="0.2">
      <c r="D25" s="373" t="s">
        <v>14</v>
      </c>
      <c r="E25" s="374"/>
      <c r="F25" s="375"/>
      <c r="G25" s="245">
        <f>'Adjust. no safeguard'!G12-'Adjust. no safeguard'!F12</f>
        <v>0</v>
      </c>
      <c r="H25" s="170">
        <f>'Adjust. no safeguard'!H12-'Adjust. no safeguard'!G12</f>
        <v>0</v>
      </c>
      <c r="I25" s="170">
        <f>'Adjust. no safeguard'!I12-'Adjust. no safeguard'!H12</f>
        <v>0</v>
      </c>
      <c r="J25" s="170">
        <f>'Adjust. no safeguard'!J12-'Adjust. no safeguard'!I12</f>
        <v>0</v>
      </c>
      <c r="K25" s="170">
        <f>'Adjust. no safeguard'!K12-'Adjust. no safeguard'!J12</f>
        <v>0</v>
      </c>
      <c r="L25" s="170">
        <f>'Adjust. no safeguard'!L12-'Adjust. no safeguard'!K12</f>
        <v>0</v>
      </c>
      <c r="M25" s="171">
        <f>'Adjust. no safeguard'!M12-'Adjust. no safeguard'!L12</f>
        <v>0</v>
      </c>
      <c r="N25" s="182"/>
      <c r="P25" s="163"/>
      <c r="V25" s="340">
        <v>-1.04</v>
      </c>
    </row>
    <row r="26" spans="4:22" ht="15" customHeight="1" x14ac:dyDescent="0.2">
      <c r="D26" s="246" t="s">
        <v>20</v>
      </c>
      <c r="E26" s="239"/>
      <c r="F26" s="240"/>
      <c r="G26" s="168">
        <f>'Adjust. no safeguard'!G78</f>
        <v>-2.6725430142324975</v>
      </c>
      <c r="H26" s="169">
        <f>'Adjust. no safeguard'!H78</f>
        <v>-2.633361454576622</v>
      </c>
      <c r="I26" s="169">
        <f>'Adjust. no safeguard'!I78</f>
        <v>-2.7298203622777257</v>
      </c>
      <c r="J26" s="169">
        <f>'Adjust. no safeguard'!J78</f>
        <v>-2.8371837735846013</v>
      </c>
      <c r="K26" s="169">
        <f>'Adjust. no safeguard'!K78</f>
        <v>-2.8004440760397666</v>
      </c>
      <c r="L26" s="169">
        <f>'Adjust. no safeguard'!L78</f>
        <v>-2.8206541837970143</v>
      </c>
      <c r="M26" s="172">
        <f>'Adjust. no safeguard'!M78</f>
        <v>-2.8472909892293603</v>
      </c>
      <c r="N26" s="182"/>
      <c r="P26" s="163"/>
      <c r="V26" s="340">
        <v>-1.02</v>
      </c>
    </row>
    <row r="27" spans="4:22" ht="15" customHeight="1" x14ac:dyDescent="0.2">
      <c r="D27" s="379" t="s">
        <v>118</v>
      </c>
      <c r="E27" s="380"/>
      <c r="F27" s="381"/>
      <c r="G27" s="324"/>
      <c r="H27" s="325"/>
      <c r="I27" s="325"/>
      <c r="J27" s="325">
        <f>IF(F5=4,'Adjust. no safeguard'!J12,"")</f>
        <v>-2.0899299999999998</v>
      </c>
      <c r="K27" s="251"/>
      <c r="L27" s="251"/>
      <c r="M27" s="252" t="str">
        <f>IF(F5=7,'Adjust. no safeguard'!M12,"")</f>
        <v/>
      </c>
      <c r="N27" s="163"/>
      <c r="P27" s="167"/>
      <c r="V27" s="340">
        <v>-1</v>
      </c>
    </row>
    <row r="28" spans="4:22" x14ac:dyDescent="0.2">
      <c r="D28" s="249"/>
      <c r="E28" s="249"/>
      <c r="F28" s="249"/>
      <c r="G28" s="250"/>
      <c r="H28" s="163"/>
      <c r="Q28" s="162"/>
      <c r="V28" s="340">
        <v>-0.98</v>
      </c>
    </row>
    <row r="29" spans="4:22" x14ac:dyDescent="0.2">
      <c r="D29" s="253"/>
      <c r="E29" s="253"/>
      <c r="F29" s="253"/>
      <c r="G29" s="254"/>
      <c r="Q29" s="162"/>
      <c r="V29" s="340">
        <v>-0.96</v>
      </c>
    </row>
    <row r="30" spans="4:22" x14ac:dyDescent="0.2">
      <c r="J30" s="166"/>
      <c r="V30" s="340">
        <v>-0.94</v>
      </c>
    </row>
    <row r="31" spans="4:22" x14ac:dyDescent="0.2">
      <c r="G31" s="364" t="s">
        <v>127</v>
      </c>
      <c r="H31" s="365"/>
      <c r="J31" s="163"/>
      <c r="V31" s="340">
        <v>-0.91999999999999993</v>
      </c>
    </row>
    <row r="32" spans="4:22" x14ac:dyDescent="0.2">
      <c r="G32" s="147" t="s">
        <v>123</v>
      </c>
      <c r="H32" s="148" t="s">
        <v>124</v>
      </c>
      <c r="J32" s="163"/>
      <c r="V32" s="340">
        <v>-0.9</v>
      </c>
    </row>
    <row r="33" spans="4:22" x14ac:dyDescent="0.2">
      <c r="D33" s="177" t="s">
        <v>184</v>
      </c>
      <c r="E33" s="150"/>
      <c r="F33" s="151"/>
      <c r="G33" s="201">
        <v>4</v>
      </c>
      <c r="H33" s="201">
        <v>7</v>
      </c>
      <c r="J33" s="163"/>
      <c r="V33" s="340">
        <v>-0.88</v>
      </c>
    </row>
    <row r="34" spans="4:22" x14ac:dyDescent="0.2">
      <c r="D34" s="202" t="s">
        <v>118</v>
      </c>
      <c r="E34" s="152"/>
      <c r="F34" s="152"/>
      <c r="G34" s="203">
        <v>-0.86992999999999998</v>
      </c>
      <c r="H34" s="149">
        <v>-0.52992999999999979</v>
      </c>
      <c r="J34" s="163"/>
      <c r="V34" s="340">
        <v>-0.86</v>
      </c>
    </row>
    <row r="35" spans="4:22" ht="96" customHeight="1" x14ac:dyDescent="0.2">
      <c r="D35" s="366" t="s">
        <v>193</v>
      </c>
      <c r="E35" s="366"/>
      <c r="F35" s="366"/>
      <c r="G35" s="366"/>
      <c r="H35" s="366"/>
      <c r="J35" s="163"/>
      <c r="V35" s="340">
        <v>-0.84000000000000008</v>
      </c>
    </row>
    <row r="36" spans="4:22" ht="19.899999999999999" customHeight="1" x14ac:dyDescent="0.2">
      <c r="G36" s="353"/>
      <c r="H36" s="353"/>
      <c r="I36" s="353"/>
      <c r="J36" s="353"/>
      <c r="K36" s="353"/>
      <c r="L36" s="353"/>
      <c r="M36" s="353"/>
      <c r="N36" s="353"/>
      <c r="O36" s="353"/>
      <c r="V36" s="340">
        <v>-0.82</v>
      </c>
    </row>
    <row r="37" spans="4:22" x14ac:dyDescent="0.2">
      <c r="K37" s="162"/>
      <c r="V37" s="340">
        <v>-0.8</v>
      </c>
    </row>
    <row r="38" spans="4:22" x14ac:dyDescent="0.2">
      <c r="K38" s="162"/>
      <c r="V38" s="340">
        <v>-0.78</v>
      </c>
    </row>
    <row r="39" spans="4:22" ht="13.15" customHeight="1" x14ac:dyDescent="0.2">
      <c r="J39" s="163"/>
      <c r="V39" s="340">
        <v>-0.76</v>
      </c>
    </row>
    <row r="40" spans="4:22" x14ac:dyDescent="0.2">
      <c r="V40" s="340">
        <v>-0.74</v>
      </c>
    </row>
    <row r="41" spans="4:22" x14ac:dyDescent="0.2">
      <c r="V41" s="340">
        <v>-0.72</v>
      </c>
    </row>
    <row r="42" spans="4:22" x14ac:dyDescent="0.2">
      <c r="V42" s="340">
        <v>-0.7</v>
      </c>
    </row>
    <row r="43" spans="4:22" x14ac:dyDescent="0.2">
      <c r="V43" s="340">
        <v>-0.67999999999999994</v>
      </c>
    </row>
    <row r="44" spans="4:22" x14ac:dyDescent="0.2">
      <c r="V44" s="340">
        <v>-0.66</v>
      </c>
    </row>
    <row r="45" spans="4:22" x14ac:dyDescent="0.2">
      <c r="V45" s="340">
        <v>-0.64</v>
      </c>
    </row>
    <row r="46" spans="4:22" x14ac:dyDescent="0.2">
      <c r="V46" s="340">
        <v>-0.62</v>
      </c>
    </row>
    <row r="47" spans="4:22" x14ac:dyDescent="0.2">
      <c r="V47" s="340">
        <v>-0.6</v>
      </c>
    </row>
    <row r="48" spans="4:22" x14ac:dyDescent="0.2">
      <c r="V48" s="340">
        <v>-0.57999999999999996</v>
      </c>
    </row>
    <row r="49" spans="22:22" x14ac:dyDescent="0.2">
      <c r="V49" s="340">
        <v>-0.56000000000000005</v>
      </c>
    </row>
    <row r="50" spans="22:22" x14ac:dyDescent="0.2">
      <c r="V50" s="340">
        <v>-0.54</v>
      </c>
    </row>
    <row r="51" spans="22:22" x14ac:dyDescent="0.2">
      <c r="V51" s="340">
        <v>-0.52</v>
      </c>
    </row>
    <row r="52" spans="22:22" x14ac:dyDescent="0.2">
      <c r="V52" s="340">
        <v>-0.5</v>
      </c>
    </row>
    <row r="53" spans="22:22" x14ac:dyDescent="0.2">
      <c r="V53" s="340">
        <v>-0.48</v>
      </c>
    </row>
    <row r="54" spans="22:22" x14ac:dyDescent="0.2">
      <c r="V54" s="340">
        <v>-0.46</v>
      </c>
    </row>
    <row r="55" spans="22:22" x14ac:dyDescent="0.2">
      <c r="V55" s="340">
        <v>-0.44</v>
      </c>
    </row>
    <row r="56" spans="22:22" x14ac:dyDescent="0.2">
      <c r="V56" s="340">
        <v>-0.42</v>
      </c>
    </row>
    <row r="57" spans="22:22" x14ac:dyDescent="0.2">
      <c r="V57" s="340">
        <v>-0.4</v>
      </c>
    </row>
    <row r="58" spans="22:22" x14ac:dyDescent="0.2">
      <c r="V58" s="340">
        <v>-0.38</v>
      </c>
    </row>
    <row r="59" spans="22:22" x14ac:dyDescent="0.2">
      <c r="V59" s="340">
        <v>-0.36</v>
      </c>
    </row>
    <row r="60" spans="22:22" x14ac:dyDescent="0.2">
      <c r="V60" s="340">
        <v>-0.33999999999999997</v>
      </c>
    </row>
    <row r="61" spans="22:22" x14ac:dyDescent="0.2">
      <c r="V61" s="340">
        <v>-0.32</v>
      </c>
    </row>
    <row r="62" spans="22:22" x14ac:dyDescent="0.2">
      <c r="V62" s="340">
        <v>-0.3</v>
      </c>
    </row>
    <row r="63" spans="22:22" x14ac:dyDescent="0.2">
      <c r="V63" s="340">
        <v>-0.28000000000000003</v>
      </c>
    </row>
    <row r="64" spans="22:22" x14ac:dyDescent="0.2">
      <c r="V64" s="340">
        <v>-0.26</v>
      </c>
    </row>
    <row r="65" spans="22:22" x14ac:dyDescent="0.2">
      <c r="V65" s="340">
        <v>-0.24</v>
      </c>
    </row>
    <row r="66" spans="22:22" x14ac:dyDescent="0.2">
      <c r="V66" s="340">
        <v>-0.21999999999999997</v>
      </c>
    </row>
    <row r="67" spans="22:22" x14ac:dyDescent="0.2">
      <c r="V67" s="340">
        <v>-0.2</v>
      </c>
    </row>
    <row r="68" spans="22:22" x14ac:dyDescent="0.2">
      <c r="V68" s="340">
        <v>-0.18</v>
      </c>
    </row>
    <row r="69" spans="22:22" x14ac:dyDescent="0.2">
      <c r="V69" s="340">
        <v>-0.16</v>
      </c>
    </row>
    <row r="70" spans="22:22" x14ac:dyDescent="0.2">
      <c r="V70" s="340">
        <v>-0.14000000000000001</v>
      </c>
    </row>
    <row r="71" spans="22:22" x14ac:dyDescent="0.2">
      <c r="V71" s="340">
        <v>-0.12</v>
      </c>
    </row>
    <row r="72" spans="22:22" x14ac:dyDescent="0.2">
      <c r="V72" s="340">
        <v>-0.1</v>
      </c>
    </row>
    <row r="73" spans="22:22" x14ac:dyDescent="0.2">
      <c r="V73" s="340">
        <v>-8.0000000000000016E-2</v>
      </c>
    </row>
    <row r="74" spans="22:22" x14ac:dyDescent="0.2">
      <c r="V74" s="340">
        <v>-0.06</v>
      </c>
    </row>
    <row r="75" spans="22:22" x14ac:dyDescent="0.2">
      <c r="V75" s="340">
        <v>-3.999999999999998E-2</v>
      </c>
    </row>
    <row r="76" spans="22:22" x14ac:dyDescent="0.2">
      <c r="V76" s="340">
        <v>-2.0000000000000018E-2</v>
      </c>
    </row>
    <row r="77" spans="22:22" x14ac:dyDescent="0.2">
      <c r="V77" s="340">
        <v>0</v>
      </c>
    </row>
    <row r="78" spans="22:22" x14ac:dyDescent="0.2">
      <c r="V78" s="340">
        <v>0.02</v>
      </c>
    </row>
    <row r="79" spans="22:22" x14ac:dyDescent="0.2">
      <c r="V79" s="340">
        <v>0.04</v>
      </c>
    </row>
    <row r="80" spans="22:22" x14ac:dyDescent="0.2">
      <c r="V80" s="340">
        <v>0.06</v>
      </c>
    </row>
    <row r="81" spans="22:22" x14ac:dyDescent="0.2">
      <c r="V81" s="340">
        <v>0.08</v>
      </c>
    </row>
    <row r="82" spans="22:22" x14ac:dyDescent="0.2">
      <c r="V82" s="340">
        <v>0.1</v>
      </c>
    </row>
    <row r="83" spans="22:22" x14ac:dyDescent="0.2">
      <c r="V83" s="340">
        <v>0.12</v>
      </c>
    </row>
    <row r="84" spans="22:22" x14ac:dyDescent="0.2">
      <c r="V84" s="340">
        <v>0.14000000000000001</v>
      </c>
    </row>
    <row r="85" spans="22:22" x14ac:dyDescent="0.2">
      <c r="V85" s="340">
        <v>0.16000000000000003</v>
      </c>
    </row>
    <row r="86" spans="22:22" x14ac:dyDescent="0.2">
      <c r="V86" s="340">
        <v>0.18000000000000005</v>
      </c>
    </row>
    <row r="87" spans="22:22" x14ac:dyDescent="0.2">
      <c r="V87" s="340">
        <v>0.2</v>
      </c>
    </row>
    <row r="88" spans="22:22" x14ac:dyDescent="0.2">
      <c r="V88" s="340">
        <v>0.22</v>
      </c>
    </row>
    <row r="89" spans="22:22" x14ac:dyDescent="0.2">
      <c r="V89" s="340">
        <v>0.24</v>
      </c>
    </row>
    <row r="90" spans="22:22" x14ac:dyDescent="0.2">
      <c r="V90" s="340">
        <v>0.26</v>
      </c>
    </row>
    <row r="91" spans="22:22" x14ac:dyDescent="0.2">
      <c r="V91" s="340">
        <v>0.28000000000000003</v>
      </c>
    </row>
    <row r="92" spans="22:22" x14ac:dyDescent="0.2">
      <c r="V92" s="340">
        <v>0.3</v>
      </c>
    </row>
    <row r="93" spans="22:22" x14ac:dyDescent="0.2">
      <c r="V93" s="340">
        <v>0.31999999999999995</v>
      </c>
    </row>
    <row r="94" spans="22:22" x14ac:dyDescent="0.2">
      <c r="V94" s="340">
        <v>0.33999999999999997</v>
      </c>
    </row>
    <row r="95" spans="22:22" x14ac:dyDescent="0.2">
      <c r="V95" s="340">
        <v>0.36</v>
      </c>
    </row>
    <row r="96" spans="22:22" x14ac:dyDescent="0.2">
      <c r="V96" s="340">
        <v>0.38</v>
      </c>
    </row>
    <row r="97" spans="22:22" x14ac:dyDescent="0.2">
      <c r="V97" s="340">
        <v>0.4</v>
      </c>
    </row>
    <row r="98" spans="22:22" x14ac:dyDescent="0.2">
      <c r="V98" s="340">
        <v>0.42</v>
      </c>
    </row>
    <row r="99" spans="22:22" x14ac:dyDescent="0.2">
      <c r="V99" s="340">
        <v>0.43999999999999995</v>
      </c>
    </row>
    <row r="100" spans="22:22" x14ac:dyDescent="0.2">
      <c r="V100" s="340">
        <v>0.45999999999999996</v>
      </c>
    </row>
    <row r="101" spans="22:22" x14ac:dyDescent="0.2">
      <c r="V101" s="340">
        <v>0.48</v>
      </c>
    </row>
    <row r="102" spans="22:22" x14ac:dyDescent="0.2">
      <c r="V102" s="340">
        <v>0.5</v>
      </c>
    </row>
    <row r="103" spans="22:22" x14ac:dyDescent="0.2">
      <c r="V103" s="340">
        <v>0.52</v>
      </c>
    </row>
    <row r="104" spans="22:22" x14ac:dyDescent="0.2">
      <c r="V104" s="340">
        <v>0.54</v>
      </c>
    </row>
    <row r="105" spans="22:22" x14ac:dyDescent="0.2">
      <c r="V105" s="340">
        <v>0.56000000000000005</v>
      </c>
    </row>
    <row r="106" spans="22:22" x14ac:dyDescent="0.2">
      <c r="V106" s="340">
        <v>0.58000000000000007</v>
      </c>
    </row>
    <row r="107" spans="22:22" x14ac:dyDescent="0.2">
      <c r="V107" s="340">
        <v>0.60000000000000009</v>
      </c>
    </row>
    <row r="108" spans="22:22" x14ac:dyDescent="0.2">
      <c r="V108" s="340">
        <v>0.62000000000000011</v>
      </c>
    </row>
    <row r="109" spans="22:22" x14ac:dyDescent="0.2">
      <c r="V109" s="340">
        <v>0.6399999999999999</v>
      </c>
    </row>
    <row r="110" spans="22:22" x14ac:dyDescent="0.2">
      <c r="V110" s="340">
        <v>0.65999999999999992</v>
      </c>
    </row>
    <row r="111" spans="22:22" x14ac:dyDescent="0.2">
      <c r="V111" s="340">
        <v>0.67999999999999994</v>
      </c>
    </row>
    <row r="112" spans="22:22" x14ac:dyDescent="0.2">
      <c r="V112" s="340">
        <v>0.7</v>
      </c>
    </row>
    <row r="113" spans="22:22" x14ac:dyDescent="0.2">
      <c r="V113" s="340">
        <v>0.72</v>
      </c>
    </row>
    <row r="114" spans="22:22" x14ac:dyDescent="0.2">
      <c r="V114" s="340">
        <v>0.74</v>
      </c>
    </row>
    <row r="115" spans="22:22" x14ac:dyDescent="0.2">
      <c r="V115" s="340">
        <v>0.76</v>
      </c>
    </row>
    <row r="116" spans="22:22" x14ac:dyDescent="0.2">
      <c r="V116" s="340">
        <v>0.78</v>
      </c>
    </row>
    <row r="117" spans="22:22" x14ac:dyDescent="0.2">
      <c r="V117" s="340">
        <v>0.8</v>
      </c>
    </row>
    <row r="118" spans="22:22" x14ac:dyDescent="0.2">
      <c r="V118" s="340">
        <v>0.82000000000000006</v>
      </c>
    </row>
    <row r="119" spans="22:22" x14ac:dyDescent="0.2">
      <c r="V119" s="340">
        <v>0.84000000000000008</v>
      </c>
    </row>
    <row r="120" spans="22:22" x14ac:dyDescent="0.2">
      <c r="V120" s="340">
        <v>0.8600000000000001</v>
      </c>
    </row>
    <row r="121" spans="22:22" x14ac:dyDescent="0.2">
      <c r="V121" s="340">
        <v>0.87999999999999989</v>
      </c>
    </row>
    <row r="122" spans="22:22" x14ac:dyDescent="0.2">
      <c r="V122" s="340">
        <v>0.89999999999999991</v>
      </c>
    </row>
    <row r="123" spans="22:22" x14ac:dyDescent="0.2">
      <c r="V123" s="340">
        <v>0.91999999999999993</v>
      </c>
    </row>
    <row r="124" spans="22:22" x14ac:dyDescent="0.2">
      <c r="V124" s="340">
        <v>0.94</v>
      </c>
    </row>
    <row r="125" spans="22:22" x14ac:dyDescent="0.2">
      <c r="V125" s="340">
        <v>0.96</v>
      </c>
    </row>
    <row r="126" spans="22:22" x14ac:dyDescent="0.2">
      <c r="V126" s="340">
        <v>0.98</v>
      </c>
    </row>
    <row r="127" spans="22:22" x14ac:dyDescent="0.2">
      <c r="V127" s="340">
        <v>1</v>
      </c>
    </row>
    <row r="128" spans="22:22" x14ac:dyDescent="0.2">
      <c r="V128" s="340">
        <v>1.02</v>
      </c>
    </row>
    <row r="129" spans="22:22" x14ac:dyDescent="0.2">
      <c r="V129" s="340">
        <v>1.04</v>
      </c>
    </row>
    <row r="130" spans="22:22" x14ac:dyDescent="0.2">
      <c r="V130" s="340">
        <v>1.06</v>
      </c>
    </row>
    <row r="131" spans="22:22" x14ac:dyDescent="0.2">
      <c r="V131" s="340">
        <v>1.08</v>
      </c>
    </row>
    <row r="132" spans="22:22" x14ac:dyDescent="0.2">
      <c r="V132" s="340">
        <v>1.1000000000000001</v>
      </c>
    </row>
    <row r="133" spans="22:22" x14ac:dyDescent="0.2">
      <c r="V133" s="340">
        <v>1.1200000000000001</v>
      </c>
    </row>
    <row r="134" spans="22:22" x14ac:dyDescent="0.2">
      <c r="V134" s="340">
        <v>1.1399999999999999</v>
      </c>
    </row>
    <row r="135" spans="22:22" x14ac:dyDescent="0.2">
      <c r="V135" s="340">
        <v>1.1599999999999999</v>
      </c>
    </row>
    <row r="136" spans="22:22" x14ac:dyDescent="0.2">
      <c r="V136" s="340">
        <v>1.18</v>
      </c>
    </row>
    <row r="137" spans="22:22" x14ac:dyDescent="0.2">
      <c r="V137" s="340">
        <v>1.2</v>
      </c>
    </row>
    <row r="138" spans="22:22" x14ac:dyDescent="0.2">
      <c r="V138" s="340">
        <v>1.22</v>
      </c>
    </row>
    <row r="139" spans="22:22" x14ac:dyDescent="0.2">
      <c r="V139" s="340">
        <v>1.24</v>
      </c>
    </row>
    <row r="140" spans="22:22" x14ac:dyDescent="0.2">
      <c r="V140" s="340">
        <v>1.26</v>
      </c>
    </row>
    <row r="141" spans="22:22" x14ac:dyDescent="0.2">
      <c r="V141" s="340">
        <v>1.28</v>
      </c>
    </row>
    <row r="142" spans="22:22" x14ac:dyDescent="0.2">
      <c r="V142" s="340">
        <v>1.3</v>
      </c>
    </row>
    <row r="143" spans="22:22" x14ac:dyDescent="0.2">
      <c r="V143" s="340">
        <v>1.32</v>
      </c>
    </row>
    <row r="144" spans="22:22" x14ac:dyDescent="0.2">
      <c r="V144" s="340">
        <v>1.34</v>
      </c>
    </row>
    <row r="145" spans="22:22" x14ac:dyDescent="0.2">
      <c r="V145" s="340">
        <v>1.36</v>
      </c>
    </row>
    <row r="146" spans="22:22" x14ac:dyDescent="0.2">
      <c r="V146" s="340">
        <v>1.38</v>
      </c>
    </row>
    <row r="147" spans="22:22" x14ac:dyDescent="0.2">
      <c r="V147" s="340">
        <v>1.4</v>
      </c>
    </row>
    <row r="148" spans="22:22" x14ac:dyDescent="0.2">
      <c r="V148" s="340">
        <v>1.42</v>
      </c>
    </row>
    <row r="149" spans="22:22" x14ac:dyDescent="0.2">
      <c r="V149" s="340">
        <v>1.44</v>
      </c>
    </row>
    <row r="150" spans="22:22" x14ac:dyDescent="0.2">
      <c r="V150" s="340">
        <v>1.46</v>
      </c>
    </row>
    <row r="151" spans="22:22" x14ac:dyDescent="0.2">
      <c r="V151" s="340">
        <v>1.48</v>
      </c>
    </row>
    <row r="152" spans="22:22" x14ac:dyDescent="0.2">
      <c r="V152" s="340">
        <v>1.5</v>
      </c>
    </row>
  </sheetData>
  <mergeCells count="20">
    <mergeCell ref="D3:F3"/>
    <mergeCell ref="H10:I10"/>
    <mergeCell ref="G31:H31"/>
    <mergeCell ref="D35:H35"/>
    <mergeCell ref="D20:F20"/>
    <mergeCell ref="G16:J16"/>
    <mergeCell ref="D18:F18"/>
    <mergeCell ref="D12:G12"/>
    <mergeCell ref="D13:G13"/>
    <mergeCell ref="D25:F25"/>
    <mergeCell ref="D27:F27"/>
    <mergeCell ref="G23:J23"/>
    <mergeCell ref="J10:J11"/>
    <mergeCell ref="D21:J21"/>
    <mergeCell ref="H9:J9"/>
    <mergeCell ref="G36:O36"/>
    <mergeCell ref="D14:J14"/>
    <mergeCell ref="K12:P12"/>
    <mergeCell ref="K13:P13"/>
    <mergeCell ref="K11:P11"/>
  </mergeCells>
  <conditionalFormatting sqref="L17:N27">
    <cfRule type="expression" dxfId="16" priority="25">
      <formula>$F$5=4</formula>
    </cfRule>
  </conditionalFormatting>
  <conditionalFormatting sqref="K17:N27">
    <cfRule type="expression" dxfId="15" priority="24">
      <formula>$F$5=4</formula>
    </cfRule>
  </conditionalFormatting>
  <conditionalFormatting sqref="K17:K20 K23:K27">
    <cfRule type="expression" dxfId="14" priority="26">
      <formula>$F$5=4</formula>
    </cfRule>
  </conditionalFormatting>
  <conditionalFormatting sqref="G19:J19">
    <cfRule type="cellIs" dxfId="13" priority="20" operator="lessThan">
      <formula>-1.55</formula>
    </cfRule>
  </conditionalFormatting>
  <conditionalFormatting sqref="K19:M19">
    <cfRule type="expression" dxfId="12" priority="19">
      <formula>AND($F$5=7,K19&lt;-1.55)</formula>
    </cfRule>
  </conditionalFormatting>
  <conditionalFormatting sqref="K13 C7 C13">
    <cfRule type="expression" dxfId="11" priority="9">
      <formula>AND($H$13="ok",$I$13="ok")</formula>
    </cfRule>
  </conditionalFormatting>
  <conditionalFormatting sqref="K12 C6 C12">
    <cfRule type="expression" dxfId="10" priority="1">
      <formula>AND($H$12="ok",$I$12="ok",$H$13="ok",$I$13="ok",$F$6&gt;=$F$7,OR(AND($F$5=4,$G$18&gt;=$H$18,$H$18&gt;=$I$18,$I$18&gt;=$J$18,OR($J$18&gt;=0.4,$J$19&gt;-1.55)), AND($F$5=7,$G$18&gt;=$H$18,$H$18&gt;=$I$18,$I$18&gt;=$J$18,$J$18&gt;=$K$18,$K$18&gt;=$L$18,$L$18&gt;=$M$18,OR($M$18&gt;=0.25,$M$19&gt;-1.55))))</formula>
    </cfRule>
  </conditionalFormatting>
  <dataValidations count="2">
    <dataValidation type="list" allowBlank="1" showInputMessage="1" showErrorMessage="1" sqref="F5" xr:uid="{FF9EC846-9BB1-4470-A3A9-D4EAF7E33AA3}">
      <formula1>$U$2:$U$3</formula1>
    </dataValidation>
    <dataValidation type="list" allowBlank="1" showInputMessage="1" showErrorMessage="1" sqref="F6 F7" xr:uid="{A30E7227-8F4D-49F0-93D5-D5F365DF07EF}">
      <formula1>$V$2:$V$152</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theme="8" tint="0.39997558519241921"/>
  </sheetPr>
  <dimension ref="A1:BB77"/>
  <sheetViews>
    <sheetView zoomScaleNormal="100" workbookViewId="0"/>
  </sheetViews>
  <sheetFormatPr defaultColWidth="8.85546875" defaultRowHeight="12.75" x14ac:dyDescent="0.2"/>
  <cols>
    <col min="1" max="1" width="8.7109375" style="108" customWidth="1"/>
    <col min="2" max="2" width="58.42578125" style="108" customWidth="1"/>
    <col min="3" max="6" width="8.7109375" style="108" customWidth="1"/>
    <col min="7" max="16384" width="8.85546875" style="108"/>
  </cols>
  <sheetData>
    <row r="1" spans="1:54" s="45" customFormat="1" ht="24.75" customHeight="1" x14ac:dyDescent="0.2">
      <c r="B1" s="101"/>
    </row>
    <row r="2" spans="1:54" s="45" customFormat="1" ht="11.25" customHeight="1" x14ac:dyDescent="0.2">
      <c r="B2" s="102"/>
    </row>
    <row r="3" spans="1:54" s="45" customFormat="1" ht="11.25" customHeight="1" x14ac:dyDescent="0.2">
      <c r="B3" s="103" t="s">
        <v>11</v>
      </c>
      <c r="C3" s="104" t="s">
        <v>113</v>
      </c>
    </row>
    <row r="4" spans="1:54" s="45" customFormat="1" ht="11.25" customHeight="1" x14ac:dyDescent="0.2">
      <c r="B4" s="105"/>
      <c r="C4" s="12"/>
    </row>
    <row r="5" spans="1:54" s="45" customFormat="1" ht="11.25" customHeight="1" x14ac:dyDescent="0.2">
      <c r="B5" s="106" t="s">
        <v>117</v>
      </c>
      <c r="C5" s="12">
        <v>2024</v>
      </c>
    </row>
    <row r="6" spans="1:54" x14ac:dyDescent="0.2">
      <c r="A6" s="45"/>
      <c r="B6" s="107" t="s">
        <v>22</v>
      </c>
      <c r="C6" s="242">
        <f>C5+'Criteria results'!$F$5</f>
        <v>2028</v>
      </c>
    </row>
    <row r="8" spans="1:54" s="109" customFormat="1" ht="12" customHeight="1" x14ac:dyDescent="0.2">
      <c r="B8" s="110" t="s">
        <v>23</v>
      </c>
      <c r="C8" s="111"/>
      <c r="D8" s="111"/>
      <c r="E8" s="111"/>
      <c r="F8" s="111"/>
      <c r="G8" s="111"/>
      <c r="H8" s="111"/>
      <c r="I8" s="111"/>
      <c r="J8" s="111"/>
      <c r="K8" s="111"/>
      <c r="L8" s="111"/>
      <c r="M8" s="111"/>
      <c r="N8" s="111"/>
      <c r="O8" s="111"/>
    </row>
    <row r="9" spans="1:54" x14ac:dyDescent="0.2">
      <c r="B9" s="45"/>
      <c r="C9" s="112">
        <v>2021</v>
      </c>
      <c r="D9" s="112">
        <v>2022</v>
      </c>
      <c r="E9" s="112">
        <v>2023</v>
      </c>
      <c r="F9" s="112">
        <v>2024</v>
      </c>
      <c r="G9" s="112">
        <v>2025</v>
      </c>
      <c r="H9" s="112">
        <v>2026</v>
      </c>
      <c r="I9" s="112">
        <v>2027</v>
      </c>
      <c r="J9" s="112">
        <v>2028</v>
      </c>
      <c r="K9" s="112">
        <v>2029</v>
      </c>
      <c r="L9" s="112">
        <v>2030</v>
      </c>
      <c r="M9" s="112">
        <v>2031</v>
      </c>
      <c r="N9" s="112">
        <v>2032</v>
      </c>
      <c r="O9" s="112">
        <v>2033</v>
      </c>
      <c r="P9" s="112">
        <v>2034</v>
      </c>
      <c r="Q9" s="112">
        <v>2035</v>
      </c>
      <c r="R9" s="112">
        <v>2036</v>
      </c>
      <c r="S9" s="112">
        <v>2037</v>
      </c>
      <c r="T9" s="112">
        <v>2038</v>
      </c>
      <c r="U9" s="112">
        <v>2039</v>
      </c>
      <c r="V9" s="112">
        <v>2040</v>
      </c>
      <c r="W9" s="112">
        <v>2041</v>
      </c>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row>
    <row r="10" spans="1:54" s="113" customFormat="1" x14ac:dyDescent="0.2">
      <c r="B10" s="114" t="s">
        <v>24</v>
      </c>
      <c r="C10" s="115"/>
      <c r="D10" s="115"/>
      <c r="E10" s="115"/>
      <c r="F10" s="115"/>
      <c r="G10" s="115"/>
      <c r="H10" s="115"/>
      <c r="I10" s="115"/>
      <c r="J10" s="115"/>
      <c r="K10" s="115"/>
      <c r="L10" s="115"/>
      <c r="M10" s="115"/>
      <c r="N10" s="115"/>
      <c r="O10" s="115"/>
    </row>
    <row r="11" spans="1:54" x14ac:dyDescent="0.2">
      <c r="B11" s="116" t="s">
        <v>210</v>
      </c>
      <c r="C11" s="117"/>
      <c r="D11" s="117"/>
      <c r="E11" s="117"/>
      <c r="F11" s="117"/>
      <c r="G11" s="117"/>
      <c r="H11" s="117"/>
      <c r="I11" s="117"/>
      <c r="J11" s="117"/>
      <c r="K11" s="117"/>
      <c r="L11" s="117"/>
      <c r="M11" s="117"/>
      <c r="N11" s="117"/>
      <c r="O11" s="117"/>
    </row>
    <row r="12" spans="1:54" x14ac:dyDescent="0.2">
      <c r="A12" s="45"/>
      <c r="B12" s="45" t="s">
        <v>21</v>
      </c>
      <c r="C12" s="44">
        <v>23.835270000000001</v>
      </c>
      <c r="D12" s="118">
        <v>22.482050000000001</v>
      </c>
      <c r="E12" s="118">
        <v>22.88429</v>
      </c>
      <c r="F12" s="118">
        <v>24.494980000000002</v>
      </c>
      <c r="G12" s="44" t="s">
        <v>25</v>
      </c>
      <c r="H12" s="44" t="s">
        <v>25</v>
      </c>
      <c r="I12" s="44" t="s">
        <v>25</v>
      </c>
      <c r="J12" s="44" t="s">
        <v>25</v>
      </c>
      <c r="K12" s="44" t="s">
        <v>25</v>
      </c>
      <c r="L12" s="44" t="s">
        <v>25</v>
      </c>
      <c r="M12" s="44" t="s">
        <v>25</v>
      </c>
      <c r="N12" s="44" t="s">
        <v>25</v>
      </c>
      <c r="O12" s="44" t="s">
        <v>25</v>
      </c>
    </row>
    <row r="13" spans="1:54" x14ac:dyDescent="0.2">
      <c r="A13" s="45"/>
      <c r="B13" s="45" t="s">
        <v>26</v>
      </c>
      <c r="C13" s="44">
        <v>-3.5045600000000001</v>
      </c>
      <c r="D13" s="118">
        <v>-3.0163250000000001</v>
      </c>
      <c r="E13" s="118">
        <v>-1.7785709999999999</v>
      </c>
      <c r="F13" s="118">
        <v>-2.0899299999999998</v>
      </c>
      <c r="G13" s="332"/>
      <c r="H13" s="332"/>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row>
    <row r="14" spans="1:54" x14ac:dyDescent="0.2">
      <c r="A14" s="45"/>
      <c r="B14" s="45" t="s">
        <v>27</v>
      </c>
      <c r="C14" s="44">
        <v>-3.3667099999999998E-2</v>
      </c>
      <c r="D14" s="118">
        <v>0</v>
      </c>
      <c r="E14" s="118">
        <v>0</v>
      </c>
      <c r="F14" s="118">
        <v>0</v>
      </c>
      <c r="G14" s="118">
        <v>0</v>
      </c>
      <c r="H14" s="118">
        <v>0</v>
      </c>
      <c r="I14" s="118">
        <v>0</v>
      </c>
      <c r="J14" s="118">
        <v>0</v>
      </c>
      <c r="K14" s="118">
        <v>0</v>
      </c>
      <c r="L14" s="118">
        <v>0</v>
      </c>
      <c r="M14" s="118">
        <v>0</v>
      </c>
      <c r="N14" s="118">
        <v>0</v>
      </c>
      <c r="O14" s="118">
        <v>0</v>
      </c>
      <c r="P14" s="118">
        <v>0</v>
      </c>
      <c r="Q14" s="118">
        <v>0</v>
      </c>
      <c r="R14" s="118">
        <v>0</v>
      </c>
      <c r="S14" s="118">
        <v>0</v>
      </c>
      <c r="T14" s="118">
        <v>0</v>
      </c>
      <c r="U14" s="118">
        <v>0</v>
      </c>
      <c r="V14" s="118">
        <v>0</v>
      </c>
      <c r="W14" s="118">
        <v>0</v>
      </c>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row>
    <row r="15" spans="1:54" x14ac:dyDescent="0.2">
      <c r="A15" s="45"/>
      <c r="B15" s="45" t="s">
        <v>28</v>
      </c>
      <c r="C15" s="44">
        <v>-1.281914</v>
      </c>
      <c r="D15" s="118">
        <v>-0.1772164</v>
      </c>
      <c r="E15" s="118">
        <v>0.44991419999999999</v>
      </c>
      <c r="F15" s="118">
        <v>0.53834850000000001</v>
      </c>
      <c r="G15" s="118">
        <v>-2.9597929999999999</v>
      </c>
      <c r="H15" s="118">
        <v>-0.14993809999999999</v>
      </c>
      <c r="I15" s="118">
        <v>0</v>
      </c>
      <c r="J15" s="118">
        <v>0</v>
      </c>
      <c r="K15" s="118">
        <v>0</v>
      </c>
      <c r="L15" s="118">
        <v>0</v>
      </c>
      <c r="M15" s="118">
        <v>0</v>
      </c>
      <c r="N15" s="118">
        <v>0</v>
      </c>
      <c r="O15" s="118">
        <v>0</v>
      </c>
      <c r="P15" s="118">
        <v>0</v>
      </c>
      <c r="Q15" s="118">
        <v>0</v>
      </c>
      <c r="R15" s="118">
        <v>0</v>
      </c>
      <c r="S15" s="118">
        <v>0</v>
      </c>
      <c r="T15" s="118">
        <v>0</v>
      </c>
      <c r="U15" s="118">
        <v>0</v>
      </c>
      <c r="V15" s="118">
        <v>0</v>
      </c>
      <c r="W15" s="118">
        <v>0</v>
      </c>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row>
    <row r="16" spans="1:54" x14ac:dyDescent="0.2">
      <c r="A16" s="45"/>
      <c r="B16" s="45" t="s">
        <v>29</v>
      </c>
      <c r="C16" s="44">
        <v>-1.2852479999999999</v>
      </c>
      <c r="D16" s="118">
        <v>-0.16636419999999999</v>
      </c>
      <c r="E16" s="118">
        <v>0.4477447</v>
      </c>
      <c r="F16" s="118">
        <v>0.53785850000000002</v>
      </c>
      <c r="G16" s="118">
        <v>-2.9595989999999999</v>
      </c>
      <c r="H16" s="118">
        <v>-0.14993790000000001</v>
      </c>
      <c r="I16" s="118">
        <v>0</v>
      </c>
      <c r="J16" s="118">
        <v>0</v>
      </c>
      <c r="K16" s="118">
        <v>0</v>
      </c>
      <c r="L16" s="118">
        <v>0</v>
      </c>
      <c r="M16" s="118">
        <v>0</v>
      </c>
      <c r="N16" s="118">
        <v>0</v>
      </c>
      <c r="O16" s="118">
        <v>0</v>
      </c>
      <c r="P16" s="118">
        <v>0</v>
      </c>
      <c r="Q16" s="118">
        <v>0</v>
      </c>
      <c r="R16" s="118">
        <v>0</v>
      </c>
      <c r="S16" s="118">
        <v>0</v>
      </c>
      <c r="T16" s="118">
        <v>0</v>
      </c>
      <c r="U16" s="118">
        <v>0</v>
      </c>
      <c r="V16" s="118">
        <v>0</v>
      </c>
      <c r="W16" s="118">
        <v>0</v>
      </c>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row>
    <row r="17" spans="1:54" x14ac:dyDescent="0.2">
      <c r="A17" s="45"/>
      <c r="B17" s="312" t="s">
        <v>187</v>
      </c>
      <c r="C17" s="44"/>
      <c r="D17" s="313">
        <v>0</v>
      </c>
      <c r="E17" s="313">
        <v>0</v>
      </c>
      <c r="F17" s="313">
        <v>0</v>
      </c>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row>
    <row r="18" spans="1:54" x14ac:dyDescent="0.2">
      <c r="A18" s="45"/>
      <c r="B18" s="45"/>
      <c r="C18" s="44"/>
      <c r="D18" s="44"/>
      <c r="E18" s="44"/>
      <c r="F18" s="44"/>
      <c r="G18" s="44"/>
      <c r="H18" s="44"/>
      <c r="I18" s="44"/>
      <c r="J18" s="44"/>
      <c r="K18" s="44"/>
      <c r="L18" s="44"/>
      <c r="M18" s="44"/>
      <c r="N18" s="44"/>
      <c r="O18" s="44"/>
    </row>
    <row r="19" spans="1:54" x14ac:dyDescent="0.2">
      <c r="A19" s="45"/>
      <c r="B19" s="116" t="s">
        <v>183</v>
      </c>
      <c r="C19" s="44"/>
      <c r="D19" s="44"/>
      <c r="E19" s="44"/>
      <c r="F19" s="44"/>
      <c r="G19" s="44"/>
      <c r="H19" s="44"/>
      <c r="I19" s="44"/>
      <c r="J19" s="44"/>
      <c r="K19" s="44"/>
      <c r="L19" s="44"/>
      <c r="M19" s="44"/>
      <c r="N19" s="44"/>
      <c r="O19" s="44"/>
    </row>
    <row r="20" spans="1:54" x14ac:dyDescent="0.2">
      <c r="A20" s="45"/>
      <c r="B20" s="45" t="s">
        <v>30</v>
      </c>
      <c r="C20" s="44">
        <f t="shared" ref="C20:T20" si="0">(C21+C22+C23+C24-C25)</f>
        <v>0</v>
      </c>
      <c r="D20" s="119">
        <f t="shared" si="0"/>
        <v>18.219909999999999</v>
      </c>
      <c r="E20" s="119">
        <f t="shared" si="0"/>
        <v>18.952970000000001</v>
      </c>
      <c r="F20" s="119">
        <f t="shared" si="0"/>
        <v>19.35406</v>
      </c>
      <c r="G20" s="119">
        <f t="shared" si="0"/>
        <v>19.583819999999999</v>
      </c>
      <c r="H20" s="119">
        <f t="shared" si="0"/>
        <v>19.586649999999999</v>
      </c>
      <c r="I20" s="119">
        <f t="shared" si="0"/>
        <v>19.528929999999999</v>
      </c>
      <c r="J20" s="119">
        <f t="shared" si="0"/>
        <v>19.404509999999998</v>
      </c>
      <c r="K20" s="119">
        <f t="shared" si="0"/>
        <v>19.248909999999999</v>
      </c>
      <c r="L20" s="119">
        <f t="shared" si="0"/>
        <v>19.152539999999998</v>
      </c>
      <c r="M20" s="119">
        <f t="shared" si="0"/>
        <v>19.062450000000002</v>
      </c>
      <c r="N20" s="119">
        <f t="shared" si="0"/>
        <v>18.976300000000002</v>
      </c>
      <c r="O20" s="119">
        <f t="shared" si="0"/>
        <v>18.882459999999998</v>
      </c>
      <c r="P20" s="119">
        <f t="shared" si="0"/>
        <v>18.795970000000001</v>
      </c>
      <c r="Q20" s="119">
        <f t="shared" si="0"/>
        <v>18.711729999999999</v>
      </c>
      <c r="R20" s="119">
        <f t="shared" si="0"/>
        <v>18.63429</v>
      </c>
      <c r="S20" s="119">
        <f t="shared" si="0"/>
        <v>18.55209</v>
      </c>
      <c r="T20" s="119">
        <f t="shared" si="0"/>
        <v>18.477730000000001</v>
      </c>
      <c r="U20" s="119">
        <f t="shared" ref="U20:W20" si="1">(U21+U22+U23+U24-U25)</f>
        <v>18.429030000000001</v>
      </c>
      <c r="V20" s="119">
        <f t="shared" si="1"/>
        <v>18.392010000000003</v>
      </c>
      <c r="W20" s="119">
        <f t="shared" si="1"/>
        <v>18.392019999999999</v>
      </c>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row>
    <row r="21" spans="1:54" x14ac:dyDescent="0.2">
      <c r="A21" s="45"/>
      <c r="B21" s="120" t="s">
        <v>31</v>
      </c>
      <c r="C21" s="44">
        <v>0</v>
      </c>
      <c r="D21" s="119">
        <v>9.4534599999999998</v>
      </c>
      <c r="E21" s="119">
        <v>10.239789999999999</v>
      </c>
      <c r="F21" s="119">
        <v>10.603680000000001</v>
      </c>
      <c r="G21" s="119">
        <v>10.813330000000001</v>
      </c>
      <c r="H21" s="119">
        <v>10.77515</v>
      </c>
      <c r="I21" s="119">
        <v>10.67567</v>
      </c>
      <c r="J21" s="119">
        <v>10.524459999999999</v>
      </c>
      <c r="K21" s="119">
        <v>10.34393</v>
      </c>
      <c r="L21" s="119">
        <v>10.22805</v>
      </c>
      <c r="M21" s="119">
        <v>10.120270000000001</v>
      </c>
      <c r="N21" s="119">
        <v>10.0204</v>
      </c>
      <c r="O21" s="119">
        <v>9.917489999999999</v>
      </c>
      <c r="P21" s="119">
        <v>9.8226900000000015</v>
      </c>
      <c r="Q21" s="119">
        <v>9.7292100000000001</v>
      </c>
      <c r="R21" s="119">
        <v>9.6441499999999998</v>
      </c>
      <c r="S21" s="119">
        <v>9.5567200000000003</v>
      </c>
      <c r="T21" s="119">
        <v>9.4718</v>
      </c>
      <c r="U21" s="119">
        <v>9.409180000000001</v>
      </c>
      <c r="V21" s="119">
        <v>9.3551300000000008</v>
      </c>
      <c r="W21" s="119">
        <v>9.3321000000000005</v>
      </c>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row>
    <row r="22" spans="1:54" x14ac:dyDescent="0.2">
      <c r="A22" s="45"/>
      <c r="B22" s="121" t="s">
        <v>32</v>
      </c>
      <c r="C22" s="44">
        <v>0</v>
      </c>
      <c r="D22" s="119">
        <v>4.5284599999999999</v>
      </c>
      <c r="E22" s="119">
        <v>4.4272200000000002</v>
      </c>
      <c r="F22" s="119">
        <v>4.4654600000000002</v>
      </c>
      <c r="G22" s="119">
        <v>4.48895</v>
      </c>
      <c r="H22" s="119">
        <v>4.5220500000000001</v>
      </c>
      <c r="I22" s="119">
        <v>4.5510099999999998</v>
      </c>
      <c r="J22" s="119">
        <v>4.5745699999999996</v>
      </c>
      <c r="K22" s="119">
        <v>4.5982099999999999</v>
      </c>
      <c r="L22" s="119">
        <v>4.6193299999999997</v>
      </c>
      <c r="M22" s="119">
        <v>4.6404500000000004</v>
      </c>
      <c r="N22" s="119">
        <v>4.6628000000000007</v>
      </c>
      <c r="O22" s="119">
        <v>4.68276</v>
      </c>
      <c r="P22" s="119">
        <v>4.7021500000000005</v>
      </c>
      <c r="Q22" s="119">
        <v>4.7216000000000005</v>
      </c>
      <c r="R22" s="119">
        <v>4.7407599999999999</v>
      </c>
      <c r="S22" s="119">
        <v>4.7592500000000006</v>
      </c>
      <c r="T22" s="119">
        <v>4.7781500000000001</v>
      </c>
      <c r="U22" s="119">
        <v>4.7961200000000002</v>
      </c>
      <c r="V22" s="119">
        <v>4.8131599999999999</v>
      </c>
      <c r="W22" s="119">
        <v>4.8310199999999996</v>
      </c>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row>
    <row r="23" spans="1:54" x14ac:dyDescent="0.2">
      <c r="A23" s="45"/>
      <c r="B23" s="121" t="s">
        <v>33</v>
      </c>
      <c r="C23" s="44">
        <v>0</v>
      </c>
      <c r="D23" s="119">
        <v>0.52510000000000001</v>
      </c>
      <c r="E23" s="119">
        <v>0.52356000000000003</v>
      </c>
      <c r="F23" s="119">
        <v>0.51973999999999998</v>
      </c>
      <c r="G23" s="119">
        <v>0.52157999999999993</v>
      </c>
      <c r="H23" s="119">
        <v>0.52549000000000001</v>
      </c>
      <c r="I23" s="119">
        <v>0.54242000000000001</v>
      </c>
      <c r="J23" s="119">
        <v>0.54713000000000001</v>
      </c>
      <c r="K23" s="119">
        <v>0.55293999999999999</v>
      </c>
      <c r="L23" s="119">
        <v>0.55960999999999994</v>
      </c>
      <c r="M23" s="119">
        <v>0.56670999999999994</v>
      </c>
      <c r="N23" s="119">
        <v>0.57349000000000006</v>
      </c>
      <c r="O23" s="119">
        <v>0.57996999999999999</v>
      </c>
      <c r="P23" s="119">
        <v>0.58643000000000001</v>
      </c>
      <c r="Q23" s="119">
        <v>0.59292</v>
      </c>
      <c r="R23" s="119">
        <v>0.59875999999999996</v>
      </c>
      <c r="S23" s="119">
        <v>0.60397999999999996</v>
      </c>
      <c r="T23" s="119">
        <v>0.60955000000000004</v>
      </c>
      <c r="U23" s="119">
        <v>0.61574000000000007</v>
      </c>
      <c r="V23" s="119">
        <v>0.62217</v>
      </c>
      <c r="W23" s="119">
        <v>0.62880999999999998</v>
      </c>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row>
    <row r="24" spans="1:54" x14ac:dyDescent="0.2">
      <c r="A24" s="45"/>
      <c r="B24" s="121" t="s">
        <v>34</v>
      </c>
      <c r="C24" s="44">
        <v>0</v>
      </c>
      <c r="D24" s="119">
        <v>3.7128899999999998</v>
      </c>
      <c r="E24" s="119">
        <v>3.7624</v>
      </c>
      <c r="F24" s="119">
        <v>3.76518</v>
      </c>
      <c r="G24" s="119">
        <v>3.7599599999999995</v>
      </c>
      <c r="H24" s="119">
        <v>3.7639600000000004</v>
      </c>
      <c r="I24" s="119">
        <v>3.75983</v>
      </c>
      <c r="J24" s="119">
        <v>3.7583500000000001</v>
      </c>
      <c r="K24" s="119">
        <v>3.7538299999999998</v>
      </c>
      <c r="L24" s="119">
        <v>3.7455500000000002</v>
      </c>
      <c r="M24" s="119">
        <v>3.73502</v>
      </c>
      <c r="N24" s="119">
        <v>3.7196100000000003</v>
      </c>
      <c r="O24" s="119">
        <v>3.7022399999999998</v>
      </c>
      <c r="P24" s="119">
        <v>3.6846999999999999</v>
      </c>
      <c r="Q24" s="119">
        <v>3.6679999999999997</v>
      </c>
      <c r="R24" s="119">
        <v>3.6506200000000004</v>
      </c>
      <c r="S24" s="119">
        <v>3.6321399999999997</v>
      </c>
      <c r="T24" s="119">
        <v>3.6182300000000001</v>
      </c>
      <c r="U24" s="119">
        <v>3.60799</v>
      </c>
      <c r="V24" s="119">
        <v>3.60155</v>
      </c>
      <c r="W24" s="119">
        <v>3.6000900000000002</v>
      </c>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row>
    <row r="25" spans="1:54" x14ac:dyDescent="0.2">
      <c r="A25" s="45"/>
      <c r="B25" s="121" t="s">
        <v>35</v>
      </c>
      <c r="C25" s="44">
        <v>0</v>
      </c>
      <c r="D25" s="119">
        <v>0</v>
      </c>
      <c r="E25" s="119">
        <v>0</v>
      </c>
      <c r="F25" s="119">
        <v>0</v>
      </c>
      <c r="G25" s="119">
        <v>0</v>
      </c>
      <c r="H25" s="119">
        <v>0</v>
      </c>
      <c r="I25" s="119">
        <v>0</v>
      </c>
      <c r="J25" s="119">
        <v>0</v>
      </c>
      <c r="K25" s="119">
        <v>0</v>
      </c>
      <c r="L25" s="119">
        <v>0</v>
      </c>
      <c r="M25" s="119">
        <v>0</v>
      </c>
      <c r="N25" s="119">
        <v>0</v>
      </c>
      <c r="O25" s="119">
        <v>0</v>
      </c>
      <c r="P25" s="119">
        <v>0</v>
      </c>
      <c r="Q25" s="119">
        <v>0</v>
      </c>
      <c r="R25" s="119">
        <v>0</v>
      </c>
      <c r="S25" s="119">
        <v>0</v>
      </c>
      <c r="T25" s="119">
        <v>0</v>
      </c>
      <c r="U25" s="119">
        <v>0</v>
      </c>
      <c r="V25" s="119">
        <v>0</v>
      </c>
      <c r="W25" s="119">
        <v>0</v>
      </c>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row>
    <row r="26" spans="1:54" x14ac:dyDescent="0.2">
      <c r="A26" s="45"/>
      <c r="B26" s="120" t="s">
        <v>36</v>
      </c>
      <c r="C26" s="44">
        <v>0.9383785</v>
      </c>
      <c r="D26" s="119">
        <v>0.82850809999999997</v>
      </c>
      <c r="E26" s="119">
        <v>1.442963</v>
      </c>
      <c r="F26" s="119">
        <v>1.43533</v>
      </c>
      <c r="G26" s="119">
        <v>1.4276960000000001</v>
      </c>
      <c r="H26" s="119">
        <v>1.4200619999999999</v>
      </c>
      <c r="I26" s="119">
        <v>1.4124289999999999</v>
      </c>
      <c r="J26" s="119">
        <v>1.404795</v>
      </c>
      <c r="K26" s="119">
        <v>1.3971610000000001</v>
      </c>
      <c r="L26" s="119">
        <v>1.389527</v>
      </c>
      <c r="M26" s="119">
        <v>1.381894</v>
      </c>
      <c r="N26" s="119">
        <v>1.37426</v>
      </c>
      <c r="O26" s="119">
        <v>1.3666259999999999</v>
      </c>
      <c r="P26" s="119">
        <v>1.358992</v>
      </c>
      <c r="Q26" s="119">
        <v>1.351359</v>
      </c>
      <c r="R26" s="119">
        <v>1.3437250000000001</v>
      </c>
      <c r="S26" s="119">
        <v>1.3360909999999999</v>
      </c>
      <c r="T26" s="119">
        <v>1.328457</v>
      </c>
      <c r="U26" s="119">
        <v>1.320824</v>
      </c>
      <c r="V26" s="119">
        <v>1.3131900000000001</v>
      </c>
      <c r="W26" s="119">
        <v>1.3055559999999999</v>
      </c>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row>
    <row r="27" spans="1:54" x14ac:dyDescent="0.2">
      <c r="A27" s="45"/>
      <c r="B27" s="45"/>
      <c r="C27" s="45"/>
      <c r="D27" s="45"/>
      <c r="E27" s="45"/>
      <c r="F27" s="45"/>
      <c r="G27" s="45"/>
      <c r="H27" s="45"/>
      <c r="I27" s="45"/>
      <c r="J27" s="45"/>
      <c r="K27" s="45"/>
      <c r="L27" s="45"/>
      <c r="M27" s="45"/>
      <c r="N27" s="45"/>
      <c r="O27" s="45"/>
    </row>
    <row r="28" spans="1:54" s="113" customFormat="1" x14ac:dyDescent="0.2">
      <c r="A28" s="122"/>
      <c r="B28" s="114" t="s">
        <v>211</v>
      </c>
      <c r="C28" s="122"/>
      <c r="D28" s="122"/>
      <c r="E28" s="122"/>
      <c r="F28" s="122"/>
      <c r="G28" s="122"/>
      <c r="H28" s="122"/>
      <c r="I28" s="122"/>
      <c r="J28" s="122"/>
      <c r="K28" s="122"/>
      <c r="L28" s="122"/>
      <c r="M28" s="122"/>
      <c r="N28" s="122"/>
      <c r="O28" s="122"/>
    </row>
    <row r="29" spans="1:54" x14ac:dyDescent="0.2">
      <c r="A29" s="45"/>
      <c r="B29" s="116" t="s">
        <v>37</v>
      </c>
      <c r="C29" s="45"/>
      <c r="D29" s="45"/>
      <c r="E29" s="45"/>
      <c r="F29" s="45"/>
      <c r="G29" s="333"/>
      <c r="H29" s="333"/>
      <c r="I29" s="333"/>
      <c r="J29" s="333"/>
      <c r="K29" s="333"/>
      <c r="L29" s="333"/>
      <c r="M29" s="333"/>
      <c r="N29" s="333"/>
      <c r="O29" s="333"/>
      <c r="P29" s="333"/>
      <c r="Q29" s="333"/>
      <c r="R29" s="333"/>
      <c r="S29" s="333"/>
      <c r="T29" s="333"/>
      <c r="U29" s="333"/>
      <c r="V29" s="333"/>
      <c r="W29" s="333"/>
    </row>
    <row r="30" spans="1:54" x14ac:dyDescent="0.2">
      <c r="A30" s="45"/>
      <c r="B30" s="45" t="s">
        <v>38</v>
      </c>
      <c r="C30" s="123">
        <v>7.7806240000000004</v>
      </c>
      <c r="D30" s="124">
        <v>4.0387769999999996</v>
      </c>
      <c r="E30" s="124">
        <v>1.886822</v>
      </c>
      <c r="F30" s="124">
        <v>2.4116029999999999</v>
      </c>
      <c r="G30" s="124">
        <v>2.7080389999999999</v>
      </c>
      <c r="H30" s="124">
        <v>2.9032589999999998</v>
      </c>
      <c r="I30" s="124">
        <v>2.2260339999999998</v>
      </c>
      <c r="J30" s="124">
        <v>1.931333</v>
      </c>
      <c r="K30" s="124">
        <v>1.931135</v>
      </c>
      <c r="L30" s="124">
        <v>1.9756419999999999</v>
      </c>
      <c r="M30" s="124">
        <v>1.8373889999999999</v>
      </c>
      <c r="N30" s="124">
        <v>1.7429809999999999</v>
      </c>
      <c r="O30" s="124">
        <v>1.6372230000000001</v>
      </c>
      <c r="P30" s="124">
        <v>1.606185</v>
      </c>
      <c r="Q30" s="125">
        <v>1.6009679999999999</v>
      </c>
      <c r="R30" s="125">
        <v>1.5957380000000001</v>
      </c>
      <c r="S30" s="125">
        <v>1.590525</v>
      </c>
      <c r="T30" s="125">
        <v>1.5116609999999999</v>
      </c>
      <c r="U30" s="125">
        <v>1.4425760000000001</v>
      </c>
      <c r="V30" s="125">
        <v>1.38703</v>
      </c>
      <c r="W30" s="125">
        <v>1.3380289999999999</v>
      </c>
      <c r="X30" s="123"/>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3"/>
    </row>
    <row r="31" spans="1:54" x14ac:dyDescent="0.2">
      <c r="A31" s="45"/>
      <c r="B31" s="270" t="s">
        <v>217</v>
      </c>
      <c r="C31" s="123">
        <v>48.051119999999997</v>
      </c>
      <c r="D31" s="333"/>
      <c r="E31" s="333"/>
      <c r="F31" s="333"/>
      <c r="G31" s="333"/>
      <c r="H31" s="333"/>
      <c r="I31" s="333"/>
      <c r="J31" s="333"/>
      <c r="K31" s="333"/>
      <c r="L31" s="333"/>
      <c r="M31" s="333"/>
      <c r="N31" s="333"/>
      <c r="O31" s="333"/>
      <c r="P31" s="333"/>
      <c r="Q31" s="333"/>
      <c r="R31" s="333"/>
      <c r="S31" s="333"/>
      <c r="T31" s="333"/>
      <c r="U31" s="333"/>
      <c r="V31" s="333"/>
      <c r="W31" s="333"/>
    </row>
    <row r="32" spans="1:54" x14ac:dyDescent="0.2">
      <c r="A32" s="45"/>
      <c r="B32" s="116" t="s">
        <v>40</v>
      </c>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row>
    <row r="33" spans="1:54" x14ac:dyDescent="0.2">
      <c r="A33" s="45"/>
      <c r="B33" s="45" t="s">
        <v>38</v>
      </c>
      <c r="C33" s="123">
        <v>2.6598169999999999</v>
      </c>
      <c r="D33" s="124">
        <v>2.610258</v>
      </c>
      <c r="E33" s="124">
        <v>2.72987</v>
      </c>
      <c r="F33" s="124">
        <v>3.1629360000000002</v>
      </c>
      <c r="G33" s="124">
        <v>2.774994</v>
      </c>
      <c r="H33" s="124">
        <v>2.4398550000000001</v>
      </c>
      <c r="I33" s="124">
        <v>2.4153289999999998</v>
      </c>
      <c r="J33" s="124">
        <v>2.1204339999999999</v>
      </c>
      <c r="K33" s="124">
        <v>2.1205850000000002</v>
      </c>
      <c r="L33" s="124">
        <v>1.9756450000000001</v>
      </c>
      <c r="M33" s="124">
        <v>1.8373870000000001</v>
      </c>
      <c r="N33" s="124">
        <v>1.742982</v>
      </c>
      <c r="O33" s="124">
        <v>1.637221</v>
      </c>
      <c r="P33" s="124">
        <v>1.606187</v>
      </c>
      <c r="Q33" s="125">
        <v>1.600965</v>
      </c>
      <c r="R33" s="125">
        <v>1.5957429999999999</v>
      </c>
      <c r="S33" s="125">
        <v>1.5905210000000001</v>
      </c>
      <c r="T33" s="125">
        <v>1.5116609999999999</v>
      </c>
      <c r="U33" s="125">
        <v>1.442574</v>
      </c>
      <c r="V33" s="125">
        <v>1.3870279999999999</v>
      </c>
      <c r="W33" s="125">
        <v>1.338025</v>
      </c>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row>
    <row r="34" spans="1:54" x14ac:dyDescent="0.2">
      <c r="A34" s="45"/>
      <c r="B34" s="270" t="s">
        <v>217</v>
      </c>
      <c r="C34" s="123">
        <v>47.886940000000003</v>
      </c>
      <c r="D34" s="333"/>
      <c r="E34" s="333"/>
      <c r="F34" s="333"/>
      <c r="G34" s="333"/>
      <c r="H34" s="333"/>
      <c r="I34" s="333"/>
      <c r="J34" s="333"/>
      <c r="K34" s="333"/>
      <c r="L34" s="333"/>
      <c r="M34" s="333"/>
      <c r="N34" s="333"/>
      <c r="O34" s="333"/>
      <c r="P34" s="333"/>
      <c r="Q34" s="333"/>
      <c r="R34" s="333"/>
      <c r="S34" s="333"/>
      <c r="T34" s="333"/>
      <c r="U34" s="333"/>
      <c r="V34" s="333"/>
      <c r="W34" s="333"/>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row>
    <row r="35" spans="1:54" x14ac:dyDescent="0.2">
      <c r="A35" s="45"/>
      <c r="B35" s="270"/>
      <c r="C35" s="333"/>
      <c r="D35" s="333"/>
      <c r="E35" s="333"/>
      <c r="F35" s="333"/>
      <c r="G35" s="333"/>
      <c r="H35" s="333"/>
      <c r="I35" s="333"/>
      <c r="J35" s="333"/>
      <c r="K35" s="333"/>
      <c r="L35" s="333"/>
      <c r="M35" s="333"/>
      <c r="N35" s="333"/>
      <c r="O35" s="333"/>
      <c r="P35" s="333"/>
      <c r="Q35" s="333"/>
      <c r="R35" s="333"/>
      <c r="S35" s="333"/>
      <c r="T35" s="333"/>
      <c r="U35" s="333"/>
      <c r="V35" s="333"/>
      <c r="W35" s="333"/>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row>
    <row r="36" spans="1:54" s="113" customFormat="1" x14ac:dyDescent="0.2">
      <c r="A36" s="122"/>
      <c r="B36" s="114" t="s">
        <v>212</v>
      </c>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row>
    <row r="37" spans="1:54" x14ac:dyDescent="0.2">
      <c r="A37" s="45"/>
      <c r="B37" s="45" t="s">
        <v>41</v>
      </c>
      <c r="C37" s="44">
        <v>2.2892730000000001</v>
      </c>
      <c r="D37" s="118">
        <v>1.9552499999999999</v>
      </c>
      <c r="E37" s="118">
        <v>2.4150100000000001</v>
      </c>
      <c r="F37" s="118">
        <v>2.7772610000000002</v>
      </c>
      <c r="G37" s="118">
        <v>2.4995349999999998</v>
      </c>
      <c r="H37" s="118">
        <v>2.49952</v>
      </c>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row>
    <row r="38" spans="1:54" x14ac:dyDescent="0.2">
      <c r="A38" s="45"/>
      <c r="B38" s="120" t="s">
        <v>42</v>
      </c>
      <c r="D38" s="118">
        <v>0.19833329999999999</v>
      </c>
      <c r="E38" s="118">
        <v>2.7915420000000002</v>
      </c>
      <c r="F38" s="260">
        <v>2.8907919999999998</v>
      </c>
      <c r="G38" s="328">
        <v>1.427792</v>
      </c>
      <c r="H38" s="261">
        <v>1.3572919999999999</v>
      </c>
    </row>
    <row r="39" spans="1:54" x14ac:dyDescent="0.2">
      <c r="A39" s="45"/>
      <c r="B39" s="120" t="s">
        <v>43</v>
      </c>
      <c r="D39" s="118">
        <v>1.53</v>
      </c>
      <c r="E39" s="118">
        <v>3.75</v>
      </c>
      <c r="F39" s="262">
        <v>3.9555020000000001</v>
      </c>
      <c r="G39" s="329">
        <v>4.0576990000000004</v>
      </c>
      <c r="H39" s="263">
        <v>4.1636879999999996</v>
      </c>
    </row>
    <row r="40" spans="1:54" x14ac:dyDescent="0.2">
      <c r="A40" s="45"/>
      <c r="B40" s="121"/>
      <c r="C40" s="44"/>
      <c r="D40" s="44"/>
      <c r="E40" s="126"/>
      <c r="F40" s="259" t="s">
        <v>49</v>
      </c>
      <c r="G40" s="126"/>
      <c r="H40" s="126"/>
      <c r="I40" s="126"/>
      <c r="J40" s="126"/>
      <c r="K40" s="126"/>
      <c r="L40" s="126"/>
      <c r="M40" s="126"/>
      <c r="N40" s="126"/>
      <c r="O40" s="126"/>
      <c r="P40" s="126"/>
      <c r="Q40" s="126"/>
      <c r="R40" s="126"/>
      <c r="S40" s="126"/>
      <c r="T40" s="126"/>
      <c r="U40" s="126"/>
      <c r="V40" s="126"/>
      <c r="W40" s="126"/>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row>
    <row r="41" spans="1:54" s="113" customFormat="1" x14ac:dyDescent="0.2">
      <c r="A41" s="122"/>
      <c r="B41" s="127" t="s">
        <v>213</v>
      </c>
      <c r="C41" s="128"/>
      <c r="D41" s="128"/>
      <c r="E41" s="128"/>
      <c r="F41" s="128"/>
      <c r="G41" s="129"/>
      <c r="H41" s="129"/>
      <c r="I41" s="129"/>
      <c r="J41" s="129"/>
      <c r="K41" s="129"/>
      <c r="L41" s="129"/>
      <c r="M41" s="129"/>
      <c r="N41" s="129"/>
      <c r="O41" s="129"/>
      <c r="P41" s="129"/>
      <c r="Q41" s="129"/>
      <c r="R41" s="129"/>
      <c r="S41" s="129"/>
      <c r="T41" s="129"/>
      <c r="U41" s="129"/>
      <c r="V41" s="129"/>
      <c r="W41" s="129"/>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28"/>
      <c r="AV41" s="128"/>
      <c r="AW41" s="128"/>
      <c r="AX41" s="128"/>
      <c r="AY41" s="128"/>
      <c r="AZ41" s="128"/>
      <c r="BA41" s="128"/>
      <c r="BB41" s="128"/>
    </row>
    <row r="42" spans="1:54" x14ac:dyDescent="0.2">
      <c r="A42" s="45"/>
      <c r="B42" s="45" t="s">
        <v>44</v>
      </c>
      <c r="C42" s="44">
        <v>6.9666290000000002</v>
      </c>
      <c r="D42" s="118">
        <v>15.91835</v>
      </c>
      <c r="E42" s="118">
        <v>7.9842040000000001</v>
      </c>
      <c r="F42" s="118">
        <v>4.782108</v>
      </c>
      <c r="G42" s="118">
        <v>2.3179340000000002</v>
      </c>
      <c r="H42" s="118">
        <v>2.7635109999999998</v>
      </c>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row>
    <row r="43" spans="1:54" x14ac:dyDescent="0.2">
      <c r="A43" s="45"/>
    </row>
    <row r="44" spans="1:54" s="113" customFormat="1" x14ac:dyDescent="0.2">
      <c r="A44" s="122"/>
      <c r="B44" s="127" t="s">
        <v>214</v>
      </c>
      <c r="C44" s="128"/>
      <c r="D44" s="128"/>
      <c r="E44" s="128"/>
      <c r="F44" s="128"/>
      <c r="G44" s="129"/>
      <c r="H44" s="129"/>
      <c r="I44" s="129"/>
      <c r="J44" s="129"/>
      <c r="K44" s="129"/>
      <c r="L44" s="129"/>
      <c r="M44" s="129"/>
      <c r="N44" s="129"/>
      <c r="O44" s="129"/>
      <c r="P44" s="129"/>
      <c r="Q44" s="129"/>
      <c r="R44" s="129"/>
      <c r="S44" s="129"/>
      <c r="T44" s="129"/>
      <c r="U44" s="129"/>
      <c r="V44" s="129"/>
      <c r="W44" s="129"/>
      <c r="X44" s="128"/>
      <c r="Y44" s="128"/>
      <c r="Z44" s="128"/>
      <c r="AA44" s="128"/>
      <c r="AB44" s="128"/>
      <c r="AC44" s="128"/>
      <c r="AD44" s="128"/>
      <c r="AE44" s="128"/>
      <c r="AF44" s="128"/>
      <c r="AG44" s="128"/>
      <c r="AH44" s="128"/>
      <c r="AI44" s="128"/>
      <c r="AJ44" s="128"/>
      <c r="AK44" s="128"/>
      <c r="AL44" s="128"/>
      <c r="AM44" s="128"/>
      <c r="AN44" s="128"/>
      <c r="AO44" s="128"/>
      <c r="AP44" s="128"/>
      <c r="AQ44" s="128"/>
      <c r="AR44" s="128"/>
      <c r="AS44" s="128"/>
      <c r="AT44" s="128"/>
      <c r="AU44" s="128"/>
      <c r="AV44" s="128"/>
      <c r="AW44" s="128"/>
      <c r="AX44" s="128"/>
      <c r="AY44" s="128"/>
      <c r="AZ44" s="128"/>
      <c r="BA44" s="128"/>
      <c r="BB44" s="128"/>
    </row>
    <row r="45" spans="1:54" x14ac:dyDescent="0.2">
      <c r="A45" s="45"/>
      <c r="B45" s="45" t="s">
        <v>15</v>
      </c>
      <c r="C45" s="44">
        <v>0</v>
      </c>
      <c r="D45" s="118">
        <v>23.717846088438755</v>
      </c>
      <c r="E45" s="118">
        <v>5.7865656435119543</v>
      </c>
      <c r="F45" s="118">
        <v>7.9106854146593948</v>
      </c>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row>
    <row r="46" spans="1:54" x14ac:dyDescent="0.2">
      <c r="A46" s="45"/>
    </row>
    <row r="47" spans="1:54" s="109" customFormat="1" x14ac:dyDescent="0.2">
      <c r="A47" s="111"/>
      <c r="B47" s="110" t="s">
        <v>45</v>
      </c>
      <c r="C47" s="130"/>
      <c r="D47" s="130"/>
    </row>
    <row r="48" spans="1:54" x14ac:dyDescent="0.2">
      <c r="A48" s="45"/>
      <c r="B48" s="131"/>
      <c r="C48" s="44"/>
      <c r="D48" s="44"/>
      <c r="E48" s="271" t="s">
        <v>129</v>
      </c>
    </row>
    <row r="49" spans="1:5" x14ac:dyDescent="0.2">
      <c r="A49" s="45"/>
      <c r="B49" s="45" t="s">
        <v>46</v>
      </c>
      <c r="C49" s="48">
        <v>0.75</v>
      </c>
      <c r="D49" s="44"/>
      <c r="E49" s="45" t="s">
        <v>47</v>
      </c>
    </row>
    <row r="50" spans="1:5" x14ac:dyDescent="0.2">
      <c r="A50" s="45"/>
      <c r="B50" s="45" t="s">
        <v>181</v>
      </c>
      <c r="C50" s="48">
        <v>0.29799999999999999</v>
      </c>
      <c r="D50" s="44"/>
      <c r="E50" s="45" t="s">
        <v>48</v>
      </c>
    </row>
    <row r="51" spans="1:5" x14ac:dyDescent="0.2">
      <c r="A51" s="45"/>
      <c r="B51" s="45"/>
      <c r="C51" s="44"/>
      <c r="D51" s="44"/>
    </row>
    <row r="52" spans="1:5" x14ac:dyDescent="0.2">
      <c r="A52" s="45"/>
      <c r="B52" s="120" t="s">
        <v>172</v>
      </c>
      <c r="C52" s="132">
        <v>5.0983200000000002</v>
      </c>
      <c r="D52" s="44"/>
      <c r="E52" s="45" t="s">
        <v>49</v>
      </c>
    </row>
    <row r="53" spans="1:5" x14ac:dyDescent="0.2">
      <c r="A53" s="45"/>
      <c r="B53" s="120" t="s">
        <v>173</v>
      </c>
      <c r="C53" s="132">
        <v>2.7608000000000001</v>
      </c>
      <c r="D53" s="44"/>
      <c r="E53" s="45" t="s">
        <v>49</v>
      </c>
    </row>
    <row r="54" spans="1:5" x14ac:dyDescent="0.2">
      <c r="A54" s="45"/>
      <c r="B54" s="120" t="s">
        <v>174</v>
      </c>
      <c r="C54" s="118">
        <v>4</v>
      </c>
      <c r="D54" s="44"/>
      <c r="E54" s="45" t="s">
        <v>50</v>
      </c>
    </row>
    <row r="55" spans="1:5" x14ac:dyDescent="0.2">
      <c r="A55" s="45"/>
      <c r="B55" s="120" t="s">
        <v>175</v>
      </c>
      <c r="C55" s="118">
        <v>2</v>
      </c>
      <c r="D55" s="44"/>
      <c r="E55" s="45" t="s">
        <v>50</v>
      </c>
    </row>
    <row r="56" spans="1:5" x14ac:dyDescent="0.2">
      <c r="A56" s="45"/>
      <c r="B56" s="120"/>
      <c r="C56" s="44"/>
      <c r="D56" s="44"/>
    </row>
    <row r="57" spans="1:5" x14ac:dyDescent="0.2">
      <c r="A57" s="45"/>
      <c r="B57" s="45" t="s">
        <v>51</v>
      </c>
      <c r="C57" s="43">
        <v>1.9239999999999999E-3</v>
      </c>
      <c r="D57" s="146"/>
      <c r="E57" s="270" t="s">
        <v>130</v>
      </c>
    </row>
    <row r="58" spans="1:5" x14ac:dyDescent="0.2">
      <c r="A58" s="45"/>
      <c r="B58" s="45" t="s">
        <v>52</v>
      </c>
      <c r="C58" s="25">
        <f>1-C57</f>
        <v>0.99807599999999996</v>
      </c>
      <c r="E58" s="270" t="s">
        <v>130</v>
      </c>
    </row>
    <row r="59" spans="1:5" x14ac:dyDescent="0.2">
      <c r="A59" s="45"/>
      <c r="B59" s="45" t="s">
        <v>176</v>
      </c>
      <c r="C59" s="43">
        <v>5.6989320000000003E-2</v>
      </c>
      <c r="E59" s="270" t="s">
        <v>131</v>
      </c>
    </row>
    <row r="60" spans="1:5" x14ac:dyDescent="0.2">
      <c r="A60" s="45"/>
      <c r="B60" s="45"/>
      <c r="C60" s="123"/>
    </row>
    <row r="61" spans="1:5" x14ac:dyDescent="0.2">
      <c r="A61" s="45"/>
      <c r="B61" s="45" t="s">
        <v>177</v>
      </c>
      <c r="C61" s="133">
        <v>2.35</v>
      </c>
      <c r="E61" s="45" t="s">
        <v>53</v>
      </c>
    </row>
    <row r="62" spans="1:5" x14ac:dyDescent="0.2">
      <c r="A62" s="45"/>
      <c r="B62" s="45" t="s">
        <v>178</v>
      </c>
      <c r="C62" s="123">
        <v>2</v>
      </c>
      <c r="E62" s="45" t="s">
        <v>54</v>
      </c>
    </row>
    <row r="63" spans="1:5" x14ac:dyDescent="0.2">
      <c r="A63" s="45"/>
      <c r="B63" s="45"/>
      <c r="C63" s="123"/>
      <c r="E63" s="45"/>
    </row>
    <row r="64" spans="1:5" x14ac:dyDescent="0.2">
      <c r="A64" s="45"/>
      <c r="B64" s="45" t="s">
        <v>171</v>
      </c>
      <c r="C64" s="118">
        <v>39.870047513087435</v>
      </c>
      <c r="E64" s="45" t="s">
        <v>202</v>
      </c>
    </row>
    <row r="65" spans="1:7" x14ac:dyDescent="0.2">
      <c r="A65" s="45"/>
      <c r="B65" s="45"/>
      <c r="C65" s="123"/>
      <c r="E65" s="45"/>
    </row>
    <row r="66" spans="1:7" x14ac:dyDescent="0.2">
      <c r="A66" s="45"/>
      <c r="B66" s="45" t="s">
        <v>203</v>
      </c>
      <c r="C66" s="327">
        <v>0.82777529912442116</v>
      </c>
      <c r="D66" s="1"/>
      <c r="E66" s="45" t="s">
        <v>55</v>
      </c>
    </row>
    <row r="67" spans="1:7" x14ac:dyDescent="0.2">
      <c r="A67" s="45"/>
      <c r="B67" s="269" t="s">
        <v>204</v>
      </c>
      <c r="C67" s="327">
        <v>6.5065597403284089E-2</v>
      </c>
      <c r="D67" s="1"/>
      <c r="E67" s="45" t="s">
        <v>55</v>
      </c>
    </row>
    <row r="68" spans="1:7" x14ac:dyDescent="0.2">
      <c r="A68" s="45"/>
      <c r="B68" s="269" t="s">
        <v>205</v>
      </c>
      <c r="C68" s="327">
        <v>0</v>
      </c>
      <c r="D68" s="1"/>
      <c r="E68" s="45" t="s">
        <v>55</v>
      </c>
    </row>
    <row r="69" spans="1:7" x14ac:dyDescent="0.2">
      <c r="A69" s="45"/>
      <c r="B69" s="120" t="s">
        <v>206</v>
      </c>
      <c r="C69" s="327">
        <v>0.107159278264696</v>
      </c>
      <c r="D69" s="1"/>
      <c r="E69" s="45" t="s">
        <v>55</v>
      </c>
    </row>
    <row r="70" spans="1:7" x14ac:dyDescent="0.2">
      <c r="A70" s="45"/>
      <c r="B70" s="120" t="s">
        <v>207</v>
      </c>
      <c r="C70" s="327">
        <v>0</v>
      </c>
      <c r="D70" s="1"/>
      <c r="E70" s="45" t="s">
        <v>55</v>
      </c>
    </row>
    <row r="71" spans="1:7" x14ac:dyDescent="0.2">
      <c r="A71" s="45"/>
      <c r="B71" s="120"/>
      <c r="C71" s="44"/>
      <c r="E71" s="45"/>
    </row>
    <row r="72" spans="1:7" s="109" customFormat="1" x14ac:dyDescent="0.2">
      <c r="B72" s="110"/>
      <c r="C72" s="130"/>
      <c r="D72" s="130"/>
    </row>
    <row r="73" spans="1:7" x14ac:dyDescent="0.2">
      <c r="B73" s="134"/>
      <c r="C73" s="135"/>
      <c r="D73" s="135"/>
      <c r="E73" s="136"/>
      <c r="F73" s="136"/>
      <c r="G73" s="136"/>
    </row>
    <row r="74" spans="1:7" x14ac:dyDescent="0.2">
      <c r="A74" s="45"/>
      <c r="B74" s="270"/>
      <c r="C74" s="23"/>
      <c r="D74" s="23"/>
      <c r="E74" s="23"/>
      <c r="F74" s="23"/>
      <c r="G74" s="23"/>
    </row>
    <row r="75" spans="1:7" x14ac:dyDescent="0.2">
      <c r="A75" s="45"/>
      <c r="B75" s="270"/>
      <c r="C75" s="23"/>
      <c r="D75" s="23"/>
      <c r="E75" s="23"/>
      <c r="F75" s="23"/>
      <c r="G75" s="23"/>
    </row>
    <row r="76" spans="1:7" x14ac:dyDescent="0.2">
      <c r="A76" s="45"/>
      <c r="B76" s="270"/>
      <c r="C76" s="23"/>
      <c r="D76" s="23"/>
      <c r="E76" s="23"/>
      <c r="F76" s="23"/>
      <c r="G76" s="23"/>
    </row>
    <row r="77" spans="1:7" x14ac:dyDescent="0.2">
      <c r="A77" s="45"/>
      <c r="B77" s="270"/>
      <c r="C77" s="23"/>
      <c r="D77" s="23"/>
      <c r="E77" s="23"/>
      <c r="F77" s="23"/>
      <c r="G77" s="23"/>
    </row>
  </sheetData>
  <phoneticPr fontId="14" type="noConversion"/>
  <pageMargins left="0.7" right="0.7" top="0.75" bottom="0.75" header="0.3" footer="0.3"/>
  <pageSetup paperSize="9" orientation="portrait" r:id="rId1"/>
  <ignoredErrors>
    <ignoredError sqref="X58:Y58 C4:C5 D58 F58:W58 C18:Y20 C58"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70C0"/>
  </sheetPr>
  <dimension ref="A1:AY123"/>
  <sheetViews>
    <sheetView zoomScaleNormal="100" workbookViewId="0"/>
  </sheetViews>
  <sheetFormatPr defaultColWidth="9.28515625" defaultRowHeight="11.25" outlineLevelRow="1" x14ac:dyDescent="0.2"/>
  <cols>
    <col min="1" max="1" width="9.28515625" style="15" customWidth="1"/>
    <col min="2" max="2" width="57.42578125" style="15" customWidth="1"/>
    <col min="3" max="38" width="9.28515625" style="15" customWidth="1"/>
    <col min="39" max="48" width="11.42578125" style="15" bestFit="1" customWidth="1"/>
    <col min="49" max="16384" width="9.28515625" style="15"/>
  </cols>
  <sheetData>
    <row r="1" spans="1:51" ht="24.75" customHeight="1" x14ac:dyDescent="0.2">
      <c r="B1" s="28"/>
    </row>
    <row r="2" spans="1:51" ht="11.25" customHeight="1" x14ac:dyDescent="0.2">
      <c r="B2" s="16"/>
    </row>
    <row r="3" spans="1:51" ht="11.25" customHeight="1" x14ac:dyDescent="0.2">
      <c r="B3" s="8" t="s">
        <v>11</v>
      </c>
      <c r="C3" s="9" t="str">
        <f>'Input data'!C3</f>
        <v>BG</v>
      </c>
    </row>
    <row r="4" spans="1:51" x14ac:dyDescent="0.2">
      <c r="B4" s="49" t="s">
        <v>16</v>
      </c>
      <c r="C4" s="10"/>
    </row>
    <row r="5" spans="1:51" x14ac:dyDescent="0.2">
      <c r="A5" s="18"/>
      <c r="B5" s="11" t="str">
        <f>'Input data'!B5</f>
        <v>Last year before the adjustment</v>
      </c>
      <c r="C5" s="12">
        <f>+'Input data'!C5</f>
        <v>2024</v>
      </c>
    </row>
    <row r="6" spans="1:51" x14ac:dyDescent="0.2">
      <c r="A6" s="18"/>
      <c r="B6" s="50" t="s">
        <v>22</v>
      </c>
      <c r="C6" s="12">
        <f>+C5+'Criteria results'!$F$5</f>
        <v>2028</v>
      </c>
      <c r="E6" s="30"/>
      <c r="F6" s="18"/>
    </row>
    <row r="7" spans="1:51" x14ac:dyDescent="0.2">
      <c r="A7" s="18"/>
      <c r="B7" s="13"/>
      <c r="C7" s="51"/>
      <c r="E7" s="30"/>
      <c r="F7" s="18"/>
    </row>
    <row r="8" spans="1:51" x14ac:dyDescent="0.2">
      <c r="A8" s="18"/>
      <c r="C8" s="18"/>
      <c r="E8" s="30"/>
      <c r="F8" s="18"/>
    </row>
    <row r="9" spans="1:51" s="56" customFormat="1" ht="12.75" x14ac:dyDescent="0.2">
      <c r="B9" s="14" t="s">
        <v>23</v>
      </c>
    </row>
    <row r="10" spans="1:51" x14ac:dyDescent="0.2">
      <c r="C10" s="20">
        <v>2021</v>
      </c>
      <c r="D10" s="20">
        <v>2022</v>
      </c>
      <c r="E10" s="20">
        <v>2023</v>
      </c>
      <c r="F10" s="20">
        <v>2024</v>
      </c>
      <c r="G10" s="20">
        <v>2025</v>
      </c>
      <c r="H10" s="20">
        <v>2026</v>
      </c>
      <c r="I10" s="20">
        <v>2027</v>
      </c>
      <c r="J10" s="20">
        <v>2028</v>
      </c>
      <c r="K10" s="20">
        <v>2029</v>
      </c>
      <c r="L10" s="20">
        <v>2030</v>
      </c>
      <c r="M10" s="20">
        <v>2031</v>
      </c>
      <c r="N10" s="20">
        <v>2032</v>
      </c>
      <c r="O10" s="20">
        <v>2033</v>
      </c>
      <c r="P10" s="20">
        <v>2034</v>
      </c>
      <c r="Q10" s="20">
        <v>2035</v>
      </c>
      <c r="R10" s="20">
        <v>2036</v>
      </c>
      <c r="S10" s="20">
        <v>2037</v>
      </c>
      <c r="T10" s="20">
        <v>2038</v>
      </c>
      <c r="U10" s="20">
        <v>2039</v>
      </c>
      <c r="V10" s="20">
        <v>2040</v>
      </c>
      <c r="W10" s="20">
        <v>2041</v>
      </c>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row>
    <row r="11" spans="1:51" x14ac:dyDescent="0.2">
      <c r="B11" s="17" t="s">
        <v>24</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row>
    <row r="12" spans="1:51" x14ac:dyDescent="0.2">
      <c r="B12" s="15" t="s">
        <v>26</v>
      </c>
      <c r="C12" s="1">
        <f>'Input data'!C13</f>
        <v>-3.5045600000000001</v>
      </c>
      <c r="D12" s="1">
        <f>'Input data'!D13</f>
        <v>-3.0163250000000001</v>
      </c>
      <c r="E12" s="2">
        <f>'Input data'!E13</f>
        <v>-1.7785709999999999</v>
      </c>
      <c r="F12" s="2">
        <f>'Input data'!F13</f>
        <v>-2.0899299999999998</v>
      </c>
      <c r="G12" s="1">
        <f>F12</f>
        <v>-2.0899299999999998</v>
      </c>
      <c r="H12" s="1">
        <f t="shared" ref="H12:W12" si="0">G12</f>
        <v>-2.0899299999999998</v>
      </c>
      <c r="I12" s="1">
        <f t="shared" si="0"/>
        <v>-2.0899299999999998</v>
      </c>
      <c r="J12" s="1">
        <f t="shared" si="0"/>
        <v>-2.0899299999999998</v>
      </c>
      <c r="K12" s="1">
        <f t="shared" si="0"/>
        <v>-2.0899299999999998</v>
      </c>
      <c r="L12" s="1">
        <f t="shared" si="0"/>
        <v>-2.0899299999999998</v>
      </c>
      <c r="M12" s="1">
        <f t="shared" si="0"/>
        <v>-2.0899299999999998</v>
      </c>
      <c r="N12" s="1">
        <f t="shared" si="0"/>
        <v>-2.0899299999999998</v>
      </c>
      <c r="O12" s="1">
        <f t="shared" si="0"/>
        <v>-2.0899299999999998</v>
      </c>
      <c r="P12" s="1">
        <f t="shared" si="0"/>
        <v>-2.0899299999999998</v>
      </c>
      <c r="Q12" s="1">
        <f t="shared" si="0"/>
        <v>-2.0899299999999998</v>
      </c>
      <c r="R12" s="1">
        <f t="shared" si="0"/>
        <v>-2.0899299999999998</v>
      </c>
      <c r="S12" s="1">
        <f t="shared" si="0"/>
        <v>-2.0899299999999998</v>
      </c>
      <c r="T12" s="1">
        <f t="shared" si="0"/>
        <v>-2.0899299999999998</v>
      </c>
      <c r="U12" s="1">
        <f t="shared" si="0"/>
        <v>-2.0899299999999998</v>
      </c>
      <c r="V12" s="1">
        <f t="shared" si="0"/>
        <v>-2.0899299999999998</v>
      </c>
      <c r="W12" s="1">
        <f t="shared" si="0"/>
        <v>-2.0899299999999998</v>
      </c>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5"/>
    </row>
    <row r="13" spans="1:51" x14ac:dyDescent="0.2">
      <c r="B13" s="15" t="s">
        <v>27</v>
      </c>
      <c r="C13" s="1">
        <f>'Input data'!C14</f>
        <v>-3.3667099999999998E-2</v>
      </c>
      <c r="D13" s="1">
        <f>'Input data'!D14</f>
        <v>0</v>
      </c>
      <c r="E13" s="2">
        <f>'Input data'!E14</f>
        <v>0</v>
      </c>
      <c r="F13" s="2">
        <f>'Input data'!F14</f>
        <v>0</v>
      </c>
      <c r="G13" s="2">
        <f>'Input data'!G14</f>
        <v>0</v>
      </c>
      <c r="H13" s="2">
        <f>'Input data'!H14</f>
        <v>0</v>
      </c>
      <c r="I13" s="2">
        <f>'Input data'!I14</f>
        <v>0</v>
      </c>
      <c r="J13" s="2">
        <f>'Input data'!J14</f>
        <v>0</v>
      </c>
      <c r="K13" s="2">
        <f>'Input data'!K14</f>
        <v>0</v>
      </c>
      <c r="L13" s="2">
        <f>'Input data'!L14</f>
        <v>0</v>
      </c>
      <c r="M13" s="2">
        <f>'Input data'!M14</f>
        <v>0</v>
      </c>
      <c r="N13" s="2">
        <f>'Input data'!N14</f>
        <v>0</v>
      </c>
      <c r="O13" s="2">
        <f>'Input data'!O14</f>
        <v>0</v>
      </c>
      <c r="P13" s="2">
        <f>'Input data'!P14</f>
        <v>0</v>
      </c>
      <c r="Q13" s="2">
        <f>'Input data'!Q14</f>
        <v>0</v>
      </c>
      <c r="R13" s="2">
        <f>'Input data'!R14</f>
        <v>0</v>
      </c>
      <c r="S13" s="2">
        <f>'Input data'!S14</f>
        <v>0</v>
      </c>
      <c r="T13" s="2">
        <f>'Input data'!T14</f>
        <v>0</v>
      </c>
      <c r="U13" s="2">
        <f>'Input data'!U14</f>
        <v>0</v>
      </c>
      <c r="V13" s="2">
        <f>'Input data'!V14</f>
        <v>0</v>
      </c>
      <c r="W13" s="2">
        <f>'Input data'!W14</f>
        <v>0</v>
      </c>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5"/>
    </row>
    <row r="14" spans="1:51" x14ac:dyDescent="0.2">
      <c r="B14" s="15" t="s">
        <v>56</v>
      </c>
      <c r="C14" s="1">
        <f>'Input data'!C15</f>
        <v>-1.281914</v>
      </c>
      <c r="D14" s="1">
        <f>'Input data'!D15</f>
        <v>-0.1772164</v>
      </c>
      <c r="E14" s="2">
        <f>'Input data'!E15</f>
        <v>0.44991419999999999</v>
      </c>
      <c r="F14" s="2">
        <f>'Input data'!F15</f>
        <v>0.53834850000000001</v>
      </c>
      <c r="G14" s="2">
        <f>'Input data'!G15</f>
        <v>-2.9597929999999999</v>
      </c>
      <c r="H14" s="2">
        <f>'Input data'!H15</f>
        <v>-0.14993809999999999</v>
      </c>
      <c r="I14" s="2">
        <f>'Input data'!I15</f>
        <v>0</v>
      </c>
      <c r="J14" s="2">
        <f>'Input data'!J15</f>
        <v>0</v>
      </c>
      <c r="K14" s="2">
        <f>'Input data'!K15</f>
        <v>0</v>
      </c>
      <c r="L14" s="2">
        <f>'Input data'!L15</f>
        <v>0</v>
      </c>
      <c r="M14" s="2">
        <f>'Input data'!M15</f>
        <v>0</v>
      </c>
      <c r="N14" s="2">
        <f>'Input data'!N15</f>
        <v>0</v>
      </c>
      <c r="O14" s="2">
        <f>'Input data'!O15</f>
        <v>0</v>
      </c>
      <c r="P14" s="2">
        <f>'Input data'!P15</f>
        <v>0</v>
      </c>
      <c r="Q14" s="2">
        <f>'Input data'!Q15</f>
        <v>0</v>
      </c>
      <c r="R14" s="2">
        <f>'Input data'!R15</f>
        <v>0</v>
      </c>
      <c r="S14" s="2">
        <f>'Input data'!S15</f>
        <v>0</v>
      </c>
      <c r="T14" s="2">
        <f>'Input data'!T15</f>
        <v>0</v>
      </c>
      <c r="U14" s="2">
        <f>'Input data'!U15</f>
        <v>0</v>
      </c>
      <c r="V14" s="2">
        <f>'Input data'!V15</f>
        <v>0</v>
      </c>
      <c r="W14" s="2">
        <f>'Input data'!W15</f>
        <v>0</v>
      </c>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5"/>
    </row>
    <row r="15" spans="1:51" ht="5.65" customHeight="1" x14ac:dyDescent="0.2">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row>
    <row r="16" spans="1:51" ht="11.25" customHeight="1" x14ac:dyDescent="0.2">
      <c r="B16" s="19" t="str">
        <f>'Input data'!B19</f>
        <v>Cost of ageing and selected public revenue (based on the Commission-Council 2024 Ageing Report ("AR 2024"))</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row>
    <row r="17" spans="1:50" x14ac:dyDescent="0.2">
      <c r="A17" s="46"/>
      <c r="B17" s="15" t="s">
        <v>30</v>
      </c>
      <c r="C17" s="1">
        <f>'Input data'!C20</f>
        <v>0</v>
      </c>
      <c r="D17" s="1">
        <f>'Input data'!D20</f>
        <v>18.219909999999999</v>
      </c>
      <c r="E17" s="78">
        <f>'Input data'!E20</f>
        <v>18.952970000000001</v>
      </c>
      <c r="F17" s="78">
        <f>'Input data'!F20</f>
        <v>19.35406</v>
      </c>
      <c r="G17" s="78">
        <f>'Input data'!G20</f>
        <v>19.583819999999999</v>
      </c>
      <c r="H17" s="78">
        <f>'Input data'!H20</f>
        <v>19.586649999999999</v>
      </c>
      <c r="I17" s="78">
        <f>'Input data'!I20</f>
        <v>19.528929999999999</v>
      </c>
      <c r="J17" s="78">
        <f>'Input data'!J20</f>
        <v>19.404509999999998</v>
      </c>
      <c r="K17" s="78">
        <f>'Input data'!K20</f>
        <v>19.248909999999999</v>
      </c>
      <c r="L17" s="78">
        <f>'Input data'!L20</f>
        <v>19.152539999999998</v>
      </c>
      <c r="M17" s="78">
        <f>'Input data'!M20</f>
        <v>19.062450000000002</v>
      </c>
      <c r="N17" s="78">
        <f>'Input data'!N20</f>
        <v>18.976300000000002</v>
      </c>
      <c r="O17" s="78">
        <f>'Input data'!O20</f>
        <v>18.882459999999998</v>
      </c>
      <c r="P17" s="78">
        <f>'Input data'!P20</f>
        <v>18.795970000000001</v>
      </c>
      <c r="Q17" s="78">
        <f>'Input data'!Q20</f>
        <v>18.711729999999999</v>
      </c>
      <c r="R17" s="78">
        <f>'Input data'!R20</f>
        <v>18.63429</v>
      </c>
      <c r="S17" s="78">
        <f>'Input data'!S20</f>
        <v>18.55209</v>
      </c>
      <c r="T17" s="78">
        <f>'Input data'!T20</f>
        <v>18.477730000000001</v>
      </c>
      <c r="U17" s="78">
        <f>'Input data'!U20</f>
        <v>18.429030000000001</v>
      </c>
      <c r="V17" s="78">
        <f>'Input data'!V20</f>
        <v>18.392010000000003</v>
      </c>
      <c r="W17" s="78">
        <f>'Input data'!W20</f>
        <v>18.392019999999999</v>
      </c>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row>
    <row r="18" spans="1:50" x14ac:dyDescent="0.2">
      <c r="A18" s="46"/>
      <c r="B18" s="15" t="str">
        <f>'Input data'!B26</f>
        <v>Property income</v>
      </c>
      <c r="C18" s="1">
        <f>'Input data'!C26</f>
        <v>0.9383785</v>
      </c>
      <c r="D18" s="1">
        <f>'Input data'!D26</f>
        <v>0.82850809999999997</v>
      </c>
      <c r="E18" s="78">
        <f>'Input data'!E26</f>
        <v>1.442963</v>
      </c>
      <c r="F18" s="78">
        <f>'Input data'!F26</f>
        <v>1.43533</v>
      </c>
      <c r="G18" s="78">
        <f>'Input data'!G26</f>
        <v>1.4276960000000001</v>
      </c>
      <c r="H18" s="78">
        <f>'Input data'!H26</f>
        <v>1.4200619999999999</v>
      </c>
      <c r="I18" s="78">
        <f>'Input data'!I26</f>
        <v>1.4124289999999999</v>
      </c>
      <c r="J18" s="78">
        <f>'Input data'!J26</f>
        <v>1.404795</v>
      </c>
      <c r="K18" s="78">
        <f>'Input data'!K26</f>
        <v>1.3971610000000001</v>
      </c>
      <c r="L18" s="78">
        <f>'Input data'!L26</f>
        <v>1.389527</v>
      </c>
      <c r="M18" s="78">
        <f>'Input data'!M26</f>
        <v>1.381894</v>
      </c>
      <c r="N18" s="78">
        <f>'Input data'!N26</f>
        <v>1.37426</v>
      </c>
      <c r="O18" s="78">
        <f>'Input data'!O26</f>
        <v>1.3666259999999999</v>
      </c>
      <c r="P18" s="78">
        <f>'Input data'!P26</f>
        <v>1.358992</v>
      </c>
      <c r="Q18" s="78">
        <f>'Input data'!Q26</f>
        <v>1.351359</v>
      </c>
      <c r="R18" s="78">
        <f>'Input data'!R26</f>
        <v>1.3437250000000001</v>
      </c>
      <c r="S18" s="78">
        <f>'Input data'!S26</f>
        <v>1.3360909999999999</v>
      </c>
      <c r="T18" s="78">
        <f>'Input data'!T26</f>
        <v>1.328457</v>
      </c>
      <c r="U18" s="78">
        <f>'Input data'!U26</f>
        <v>1.320824</v>
      </c>
      <c r="V18" s="78">
        <f>'Input data'!V26</f>
        <v>1.3131900000000001</v>
      </c>
      <c r="W18" s="78">
        <f>'Input data'!W26</f>
        <v>1.3055559999999999</v>
      </c>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row>
    <row r="20" spans="1:50" x14ac:dyDescent="0.2">
      <c r="B20" s="17" t="s">
        <v>57</v>
      </c>
    </row>
    <row r="21" spans="1:50" ht="10.5" customHeight="1" x14ac:dyDescent="0.2">
      <c r="B21" s="19" t="s">
        <v>58</v>
      </c>
    </row>
    <row r="22" spans="1:50" x14ac:dyDescent="0.2">
      <c r="B22" s="15" t="s">
        <v>39</v>
      </c>
      <c r="C22" s="23">
        <f>'Input data'!C31</f>
        <v>48.051119999999997</v>
      </c>
      <c r="D22" s="23">
        <f>C22*(D23/100+1)</f>
        <v>49.991797582802391</v>
      </c>
      <c r="E22" s="77">
        <f t="shared" ref="E22:F22" si="1">D22*(E23/100+1)</f>
        <v>50.935053817790177</v>
      </c>
      <c r="F22" s="77">
        <f t="shared" si="1"/>
        <v>52.163405103711625</v>
      </c>
      <c r="G22" s="77">
        <f>F22*(G23/100+1)</f>
        <v>53.576010457648131</v>
      </c>
      <c r="H22" s="77">
        <f>G22*(H23/100+1)</f>
        <v>55.131460803100737</v>
      </c>
      <c r="I22" s="23">
        <f t="shared" ref="I22:W22" si="2">H22*(I23/100+1)</f>
        <v>56.358705865274437</v>
      </c>
      <c r="J22" s="23">
        <f t="shared" si="2"/>
        <v>57.447180150023414</v>
      </c>
      <c r="K22" s="23">
        <f t="shared" si="2"/>
        <v>58.556562752413562</v>
      </c>
      <c r="L22" s="23">
        <f t="shared" si="2"/>
        <v>59.713430799906597</v>
      </c>
      <c r="M22" s="23">
        <f t="shared" si="2"/>
        <v>60.810598808946686</v>
      </c>
      <c r="N22" s="23">
        <f t="shared" si="2"/>
        <v>61.870515992172862</v>
      </c>
      <c r="O22" s="23">
        <f t="shared" si="2"/>
        <v>62.883474310215391</v>
      </c>
      <c r="P22" s="23">
        <f t="shared" si="2"/>
        <v>63.893499242064927</v>
      </c>
      <c r="Q22" s="23">
        <f t="shared" si="2"/>
        <v>64.916413719010635</v>
      </c>
      <c r="R22" s="23">
        <f t="shared" si="2"/>
        <v>65.952309600962096</v>
      </c>
      <c r="S22" s="23">
        <f t="shared" si="2"/>
        <v>67.001297573242809</v>
      </c>
      <c r="T22" s="23">
        <f t="shared" si="2"/>
        <v>68.014130058151466</v>
      </c>
      <c r="U22" s="23">
        <f t="shared" si="2"/>
        <v>68.995285574979135</v>
      </c>
      <c r="V22" s="23">
        <f t="shared" si="2"/>
        <v>69.952270884489764</v>
      </c>
      <c r="W22" s="23">
        <f t="shared" si="2"/>
        <v>70.888252555082786</v>
      </c>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row>
    <row r="23" spans="1:50" x14ac:dyDescent="0.2">
      <c r="A23" s="46"/>
      <c r="B23" s="47" t="s">
        <v>38</v>
      </c>
      <c r="C23" s="23">
        <f>+'Input data'!C30</f>
        <v>7.7806240000000004</v>
      </c>
      <c r="D23" s="23">
        <f>+'Input data'!D30</f>
        <v>4.0387769999999996</v>
      </c>
      <c r="E23" s="77">
        <f>+'Input data'!E30</f>
        <v>1.886822</v>
      </c>
      <c r="F23" s="77">
        <f>+'Input data'!F30</f>
        <v>2.4116029999999999</v>
      </c>
      <c r="G23" s="77">
        <f>+'Input data'!G30</f>
        <v>2.7080389999999999</v>
      </c>
      <c r="H23" s="77">
        <f>+'Input data'!H30</f>
        <v>2.9032589999999998</v>
      </c>
      <c r="I23" s="23">
        <f>+'Input data'!I30</f>
        <v>2.2260339999999998</v>
      </c>
      <c r="J23" s="23">
        <f>+'Input data'!J30</f>
        <v>1.931333</v>
      </c>
      <c r="K23" s="23">
        <f>+'Input data'!K30</f>
        <v>1.931135</v>
      </c>
      <c r="L23" s="23">
        <f>+'Input data'!L30</f>
        <v>1.9756419999999999</v>
      </c>
      <c r="M23" s="23">
        <f>+'Input data'!M30</f>
        <v>1.8373889999999999</v>
      </c>
      <c r="N23" s="23">
        <f>+'Input data'!N30</f>
        <v>1.7429809999999999</v>
      </c>
      <c r="O23" s="23">
        <f>+'Input data'!O30</f>
        <v>1.6372230000000001</v>
      </c>
      <c r="P23" s="23">
        <f>+'Input data'!P30</f>
        <v>1.606185</v>
      </c>
      <c r="Q23" s="23">
        <f>+'Input data'!Q30</f>
        <v>1.6009679999999999</v>
      </c>
      <c r="R23" s="23">
        <f>+'Input data'!R30</f>
        <v>1.5957380000000001</v>
      </c>
      <c r="S23" s="23">
        <f>+'Input data'!S30</f>
        <v>1.590525</v>
      </c>
      <c r="T23" s="23">
        <f>+'Input data'!T30</f>
        <v>1.5116609999999999</v>
      </c>
      <c r="U23" s="23">
        <f>+'Input data'!U30</f>
        <v>1.4425760000000001</v>
      </c>
      <c r="V23" s="23">
        <f>+'Input data'!V30</f>
        <v>1.38703</v>
      </c>
      <c r="W23" s="23">
        <f>+'Input data'!W30</f>
        <v>1.3380289999999999</v>
      </c>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row>
    <row r="24" spans="1:50" ht="5.25" customHeight="1" x14ac:dyDescent="0.2">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row>
    <row r="25" spans="1:50" ht="15" x14ac:dyDescent="0.2">
      <c r="A25" s="158"/>
      <c r="B25" s="19" t="s">
        <v>59</v>
      </c>
      <c r="C25" s="157"/>
      <c r="D25" s="157"/>
      <c r="E25" s="157"/>
      <c r="F25" s="157"/>
      <c r="H25" s="184"/>
      <c r="I25" s="184"/>
      <c r="J25" s="184"/>
      <c r="K25" s="184"/>
      <c r="L25" s="184"/>
      <c r="M25" s="184"/>
      <c r="N25" s="184"/>
      <c r="O25" s="184"/>
      <c r="P25" s="184"/>
      <c r="Q25" s="184"/>
      <c r="R25" s="184"/>
      <c r="S25" s="184"/>
      <c r="T25" s="184"/>
    </row>
    <row r="26" spans="1:50" x14ac:dyDescent="0.2">
      <c r="B26" s="15" t="s">
        <v>39</v>
      </c>
      <c r="C26" s="23">
        <f>'Input data'!C34</f>
        <v>47.886940000000003</v>
      </c>
      <c r="D26" s="23">
        <f>+C26*(1+'Input data'!D33/100)</f>
        <v>49.136912682305208</v>
      </c>
      <c r="E26" s="77">
        <f>+D26*(1+'Input data'!E33/100)</f>
        <v>50.478286520545652</v>
      </c>
      <c r="F26" s="77">
        <f>+E26*(1+'Input data'!F33/100)</f>
        <v>52.074882417087132</v>
      </c>
      <c r="G26" s="77">
        <f>+F26*(1+'Input data'!G33/100)</f>
        <v>53.519957279668361</v>
      </c>
      <c r="H26" s="77">
        <f>+G26*(1+'Input data'!H33/100)</f>
        <v>54.825766633354206</v>
      </c>
      <c r="I26" s="23">
        <f>+H26*(1+'Input data'!I33/100)</f>
        <v>56.149989274321939</v>
      </c>
      <c r="J26" s="23">
        <f>+I26*(1+'Input data'!J33/100)</f>
        <v>57.340612737891014</v>
      </c>
      <c r="K26" s="23">
        <f>+J26*(1+'Input data'!K33/100)</f>
        <v>58.556569170518827</v>
      </c>
      <c r="L26" s="23">
        <f>+K26*(1+'Input data'!L33/100)</f>
        <v>59.713439101507724</v>
      </c>
      <c r="M26" s="23">
        <f>+L26*(1+'Input data'!M33/100)</f>
        <v>60.810606068811744</v>
      </c>
      <c r="N26" s="23">
        <f>+M26*(1+'Input data'!N33/100)</f>
        <v>61.870523986682045</v>
      </c>
      <c r="O26" s="23">
        <f>+N26*(1+'Input data'!O33/100)</f>
        <v>62.883481198202048</v>
      </c>
      <c r="P26" s="23">
        <f>+O26*(1+'Input data'!P33/100)</f>
        <v>63.893507498355007</v>
      </c>
      <c r="Q26" s="23">
        <f>+P26*(1+'Input data'!Q33/100)</f>
        <v>64.91642019067605</v>
      </c>
      <c r="R26" s="23">
        <f>+Q26*(1+'Input data'!R33/100)</f>
        <v>65.952319421719352</v>
      </c>
      <c r="S26" s="23">
        <f>+R26*(1+'Input data'!S33/100)</f>
        <v>67.001304912108864</v>
      </c>
      <c r="T26" s="23">
        <f>+S26*(1+'Input data'!T33/100)</f>
        <v>68.014137507956292</v>
      </c>
      <c r="U26" s="23">
        <f>+T26*(1+'Input data'!U33/100)</f>
        <v>68.995291771970329</v>
      </c>
      <c r="V26" s="23">
        <f>+U26*(1+'Input data'!V33/100)</f>
        <v>69.952275787529246</v>
      </c>
      <c r="W26" s="23">
        <f>+V26*(1+'Input data'!W33/100)</f>
        <v>70.888254725635335</v>
      </c>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row>
    <row r="27" spans="1:50" ht="5.25" customHeight="1" x14ac:dyDescent="0.2">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row>
    <row r="28" spans="1:50" x14ac:dyDescent="0.2">
      <c r="B28" s="19" t="s">
        <v>60</v>
      </c>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row>
    <row r="29" spans="1:50" x14ac:dyDescent="0.2">
      <c r="B29" s="15" t="s">
        <v>60</v>
      </c>
      <c r="C29" s="23">
        <f t="shared" ref="C29:T29" si="3">100*(C22/C26-1)</f>
        <v>0.34284921943226188</v>
      </c>
      <c r="D29" s="23">
        <f t="shared" si="3"/>
        <v>1.7398018186947306</v>
      </c>
      <c r="E29" s="77">
        <f t="shared" si="3"/>
        <v>0.9048787681384729</v>
      </c>
      <c r="F29" s="77">
        <f t="shared" si="3"/>
        <v>0.16999114067215437</v>
      </c>
      <c r="G29" s="77">
        <f t="shared" si="3"/>
        <v>0.10473322631194826</v>
      </c>
      <c r="H29" s="77">
        <f t="shared" si="3"/>
        <v>0.55757390825166286</v>
      </c>
      <c r="I29" s="23">
        <f t="shared" si="3"/>
        <v>0.37171261054531612</v>
      </c>
      <c r="J29" s="23">
        <f t="shared" si="3"/>
        <v>0.18584979658227141</v>
      </c>
      <c r="K29" s="23">
        <f t="shared" si="3"/>
        <v>-1.096052134608172E-5</v>
      </c>
      <c r="L29" s="23">
        <f t="shared" si="3"/>
        <v>-1.3902399953469313E-5</v>
      </c>
      <c r="M29" s="23">
        <f t="shared" si="3"/>
        <v>-1.1938484956175444E-5</v>
      </c>
      <c r="N29" s="23">
        <f t="shared" si="3"/>
        <v>-1.2921353609307573E-5</v>
      </c>
      <c r="O29" s="23">
        <f t="shared" si="3"/>
        <v>-1.0953570839244975E-5</v>
      </c>
      <c r="P29" s="23">
        <f t="shared" si="3"/>
        <v>-1.2921954672950875E-5</v>
      </c>
      <c r="Q29" s="23">
        <f t="shared" si="3"/>
        <v>-9.9692271993134796E-6</v>
      </c>
      <c r="R29" s="23">
        <f t="shared" si="3"/>
        <v>-1.4890692767721703E-5</v>
      </c>
      <c r="S29" s="23">
        <f t="shared" si="3"/>
        <v>-1.0953318096973419E-5</v>
      </c>
      <c r="T29" s="23">
        <f t="shared" si="3"/>
        <v>-1.0953318085871189E-5</v>
      </c>
      <c r="U29" s="23">
        <f t="shared" ref="U29:W29" si="4">100*(U22/U26-1)</f>
        <v>-8.981759525017452E-6</v>
      </c>
      <c r="V29" s="23">
        <f t="shared" si="4"/>
        <v>-7.009120761569676E-6</v>
      </c>
      <c r="W29" s="23">
        <f t="shared" si="4"/>
        <v>-3.0619353719174569E-6</v>
      </c>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row>
    <row r="30" spans="1:50" ht="5.25" customHeight="1" x14ac:dyDescent="0.2">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row>
    <row r="31" spans="1:50" x14ac:dyDescent="0.2">
      <c r="B31" s="19" t="s">
        <v>61</v>
      </c>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row>
    <row r="32" spans="1:50" x14ac:dyDescent="0.2">
      <c r="B32" s="15" t="s">
        <v>38</v>
      </c>
      <c r="C32" s="1">
        <f t="shared" ref="C32:W32" si="5">100*((1+C23/100)*(1+C41/100)-1)</f>
        <v>15.289300207964951</v>
      </c>
      <c r="D32" s="1">
        <f t="shared" si="5"/>
        <v>20.600033658579477</v>
      </c>
      <c r="E32" s="2">
        <f t="shared" si="5"/>
        <v>10.02167371759688</v>
      </c>
      <c r="F32" s="2">
        <f t="shared" si="5"/>
        <v>7.3090364599912583</v>
      </c>
      <c r="G32" s="2">
        <f>100*((1+G23/100)*(1+G41/100)-1)</f>
        <v>5.0887435567142703</v>
      </c>
      <c r="H32" s="2">
        <f>100*((1+H23/100)*(1+H41/100)-1)</f>
        <v>5.747001881823488</v>
      </c>
      <c r="I32" s="1">
        <f t="shared" si="5"/>
        <v>4.9982222075220406</v>
      </c>
      <c r="J32" s="1">
        <f t="shared" si="5"/>
        <v>4.6428422813012293</v>
      </c>
      <c r="K32" s="1">
        <f t="shared" si="5"/>
        <v>4.5899519572811576</v>
      </c>
      <c r="L32" s="1">
        <f t="shared" si="5"/>
        <v>4.5829098354953191</v>
      </c>
      <c r="M32" s="1">
        <f t="shared" si="5"/>
        <v>4.3884834436104248</v>
      </c>
      <c r="N32" s="1">
        <f t="shared" si="5"/>
        <v>4.2391206580407514</v>
      </c>
      <c r="O32" s="1">
        <f t="shared" si="5"/>
        <v>4.0782328776499455</v>
      </c>
      <c r="P32" s="1">
        <f t="shared" si="5"/>
        <v>3.9939303475000187</v>
      </c>
      <c r="Q32" s="1">
        <f t="shared" si="5"/>
        <v>3.9708105786000036</v>
      </c>
      <c r="R32" s="1">
        <f t="shared" si="5"/>
        <v>3.9476793346999939</v>
      </c>
      <c r="S32" s="1">
        <f t="shared" si="5"/>
        <v>3.9245673118750046</v>
      </c>
      <c r="T32" s="1">
        <f t="shared" si="5"/>
        <v>3.8261268707999951</v>
      </c>
      <c r="U32" s="1">
        <f t="shared" si="5"/>
        <v>3.737714281999982</v>
      </c>
      <c r="V32" s="1">
        <f t="shared" si="5"/>
        <v>3.6631688235000182</v>
      </c>
      <c r="W32" s="1">
        <f t="shared" si="5"/>
        <v>3.5953335959749921</v>
      </c>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row>
    <row r="34" spans="2:51" x14ac:dyDescent="0.2">
      <c r="B34" s="17" t="s">
        <v>62</v>
      </c>
    </row>
    <row r="35" spans="2:51" x14ac:dyDescent="0.2">
      <c r="B35" s="15" t="s">
        <v>41</v>
      </c>
      <c r="C35" s="1">
        <f>'Input data'!C37</f>
        <v>2.2892730000000001</v>
      </c>
      <c r="D35" s="1">
        <f>'Input data'!D37</f>
        <v>1.9552499999999999</v>
      </c>
      <c r="E35" s="2">
        <f>'Input data'!E37</f>
        <v>2.4150100000000001</v>
      </c>
      <c r="F35" s="2">
        <f>'Input data'!F37</f>
        <v>2.7772610000000002</v>
      </c>
      <c r="G35" s="2">
        <f>'Input data'!G37</f>
        <v>2.4995349999999998</v>
      </c>
      <c r="H35" s="2">
        <f>'Input data'!H37</f>
        <v>2.49952</v>
      </c>
      <c r="I35" s="1">
        <f t="shared" ref="I35:W35" si="6">I96</f>
        <v>2.8065168435775996</v>
      </c>
      <c r="J35" s="1">
        <f t="shared" si="6"/>
        <v>3.0822332305605915</v>
      </c>
      <c r="K35" s="1">
        <f t="shared" si="6"/>
        <v>3.3210924766189094</v>
      </c>
      <c r="L35" s="1">
        <f t="shared" si="6"/>
        <v>3.5305700234390045</v>
      </c>
      <c r="M35" s="1">
        <f t="shared" si="6"/>
        <v>3.7176741254543493</v>
      </c>
      <c r="N35" s="1">
        <f t="shared" si="6"/>
        <v>3.8874793682052871</v>
      </c>
      <c r="O35" s="1">
        <f t="shared" si="6"/>
        <v>4.0437153247689777</v>
      </c>
      <c r="P35" s="1">
        <f t="shared" si="6"/>
        <v>4.1889020456502255</v>
      </c>
      <c r="Q35" s="1">
        <f t="shared" si="6"/>
        <v>4.3022618384191613</v>
      </c>
      <c r="R35" s="1">
        <f t="shared" si="6"/>
        <v>4.3915419780049492</v>
      </c>
      <c r="S35" s="1">
        <f t="shared" si="6"/>
        <v>4.4607766746874473</v>
      </c>
      <c r="T35" s="1">
        <f>T96</f>
        <v>4.5131208254650481</v>
      </c>
      <c r="U35" s="1">
        <f t="shared" si="6"/>
        <v>4.5512863667969636</v>
      </c>
      <c r="V35" s="1">
        <f t="shared" si="6"/>
        <v>4.5775508380419359</v>
      </c>
      <c r="W35" s="1">
        <f t="shared" si="6"/>
        <v>4.5936598633561481</v>
      </c>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5"/>
    </row>
    <row r="36" spans="2:51" x14ac:dyDescent="0.2">
      <c r="B36" s="21" t="s">
        <v>63</v>
      </c>
      <c r="C36" s="1"/>
      <c r="D36" s="1"/>
      <c r="E36" s="2">
        <f>'Input data'!E39</f>
        <v>3.75</v>
      </c>
      <c r="F36" s="137">
        <f>'Input data'!F39</f>
        <v>3.9555020000000001</v>
      </c>
      <c r="G36" s="137">
        <f>'Input data'!G39</f>
        <v>4.0576990000000004</v>
      </c>
      <c r="H36" s="137">
        <f>'Input data'!H39</f>
        <v>4.1636879999999996</v>
      </c>
      <c r="I36" s="1">
        <f>H36+($P$36-$H$36)/($P$10-$H$10)</f>
        <v>4.2805169999999997</v>
      </c>
      <c r="J36" s="1">
        <f t="shared" ref="J36:O36" si="7">I36+($P$36-$H$36)/($P$10-$H$10)</f>
        <v>4.3973459999999998</v>
      </c>
      <c r="K36" s="1">
        <f t="shared" si="7"/>
        <v>4.5141749999999998</v>
      </c>
      <c r="L36" s="1">
        <f t="shared" si="7"/>
        <v>4.6310039999999999</v>
      </c>
      <c r="M36" s="1">
        <f t="shared" si="7"/>
        <v>4.747833</v>
      </c>
      <c r="N36" s="1">
        <f t="shared" si="7"/>
        <v>4.864662</v>
      </c>
      <c r="O36" s="1">
        <f t="shared" si="7"/>
        <v>4.9814910000000001</v>
      </c>
      <c r="P36" s="178">
        <f>'Input data'!$C$52</f>
        <v>5.0983200000000002</v>
      </c>
      <c r="Q36" s="1">
        <f>$P$36+('Input data'!$C$54-'Input data'!$C$52)/20*(Q$10-$P$10)</f>
        <v>5.0434039999999998</v>
      </c>
      <c r="R36" s="1">
        <f>$P$36+('Input data'!$C$54-'Input data'!$C$52)/20*(R$10-$P$10)</f>
        <v>4.9884880000000003</v>
      </c>
      <c r="S36" s="1">
        <f>$P$36+('Input data'!$C$54-'Input data'!$C$52)/20*(S$10-$P$10)</f>
        <v>4.9335719999999998</v>
      </c>
      <c r="T36" s="1">
        <f>$P$36+('Input data'!$C$54-'Input data'!$C$52)/20*(T$10-$P$10)</f>
        <v>4.8786560000000003</v>
      </c>
      <c r="U36" s="1">
        <f>$P$36+('Input data'!$C$54-'Input data'!$C$52)/20*(U$10-$P$10)</f>
        <v>4.8237399999999999</v>
      </c>
      <c r="V36" s="1">
        <f>$P$36+('Input data'!$C$54-'Input data'!$C$52)/20*(V$10-$P$10)</f>
        <v>4.7688240000000004</v>
      </c>
      <c r="W36" s="1">
        <f>$P$36+('Input data'!$C$54-'Input data'!$C$52)/20*(W$10-$P$10)</f>
        <v>4.713908</v>
      </c>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5"/>
    </row>
    <row r="37" spans="2:51" x14ac:dyDescent="0.2">
      <c r="B37" s="21" t="s">
        <v>64</v>
      </c>
      <c r="C37" s="1"/>
      <c r="D37" s="1"/>
      <c r="E37" s="2">
        <f>'Input data'!E$38</f>
        <v>2.7915420000000002</v>
      </c>
      <c r="F37" s="137">
        <f>'Input data'!F$38</f>
        <v>2.8907919999999998</v>
      </c>
      <c r="G37" s="137">
        <f>'Input data'!G$38</f>
        <v>1.427792</v>
      </c>
      <c r="H37" s="137">
        <f>'Input data'!H$38</f>
        <v>1.3572919999999999</v>
      </c>
      <c r="I37" s="1">
        <f>H37+($P$37-$H$37)/($P$10-$H$10)</f>
        <v>1.5327305</v>
      </c>
      <c r="J37" s="1">
        <f t="shared" ref="J37:O37" si="8">I37+($P$37-$H$37)/($P$10-$H$10)</f>
        <v>1.708169</v>
      </c>
      <c r="K37" s="1">
        <f t="shared" si="8"/>
        <v>1.8836075000000001</v>
      </c>
      <c r="L37" s="1">
        <f t="shared" si="8"/>
        <v>2.0590459999999999</v>
      </c>
      <c r="M37" s="1">
        <f t="shared" si="8"/>
        <v>2.2344844999999998</v>
      </c>
      <c r="N37" s="1">
        <f t="shared" si="8"/>
        <v>2.4099229999999996</v>
      </c>
      <c r="O37" s="1">
        <f t="shared" si="8"/>
        <v>2.5853614999999994</v>
      </c>
      <c r="P37" s="178">
        <f>'Input data'!$C$53</f>
        <v>2.7608000000000001</v>
      </c>
      <c r="Q37" s="1">
        <f>$P$37+('Input data'!$C$55-'Input data'!$C$53)/20*(Q$10-$P$10)</f>
        <v>2.7227600000000001</v>
      </c>
      <c r="R37" s="1">
        <f>$P$37+('Input data'!$C$55-'Input data'!$C$53)/20*(R$10-$P$10)</f>
        <v>2.68472</v>
      </c>
      <c r="S37" s="1">
        <f>$P$37+('Input data'!$C$55-'Input data'!$C$53)/20*(S$10-$P$10)</f>
        <v>2.6466799999999999</v>
      </c>
      <c r="T37" s="1">
        <f>$P$37+('Input data'!$C$55-'Input data'!$C$53)/20*(T$10-$P$10)</f>
        <v>2.6086400000000003</v>
      </c>
      <c r="U37" s="1">
        <f>$P$37+('Input data'!$C$55-'Input data'!$C$53)/20*(U$10-$P$10)</f>
        <v>2.5706000000000002</v>
      </c>
      <c r="V37" s="1">
        <f>$P$37+('Input data'!$C$55-'Input data'!$C$53)/20*(V$10-$P$10)</f>
        <v>2.5325600000000001</v>
      </c>
      <c r="W37" s="1">
        <f>$P$37+('Input data'!$C$55-'Input data'!$C$53)/20*(W$10-$P$10)</f>
        <v>2.4945200000000001</v>
      </c>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5"/>
    </row>
    <row r="38" spans="2:51" x14ac:dyDescent="0.2">
      <c r="B38" s="15" t="s">
        <v>65</v>
      </c>
      <c r="C38" s="1">
        <v>2.5958220000000001E-2</v>
      </c>
      <c r="D38" s="1">
        <v>8.3310770000000006E-2</v>
      </c>
      <c r="E38" s="1">
        <v>7.2874809999999998E-2</v>
      </c>
      <c r="F38" s="1">
        <v>8.0585989999999996E-2</v>
      </c>
      <c r="G38" s="1">
        <f>IF(OR($C$3="EL",$C$3="CY",$C$3="IE",$C$3="PT"),VLOOKUP($C$3,$B$110:$T$114,MATCH(G$10,$B$110:$T$110,0),0),$F$38+('Input data'!$C$59-$F$38)/($P$10-$F$10)*(G10-$F$10))</f>
        <v>7.8226323E-2</v>
      </c>
      <c r="H38" s="1">
        <f>IF(OR($C$3="EL",$C$3="CY",$C$3="IE",$C$3="PT"),VLOOKUP($C$3,$B$110:$T$114,MATCH(H$10,$B$110:$T$110,0),0),$F$38+('Input data'!$C$59-$F$38)/($P$10-$F$10)*(H10-$F$10))</f>
        <v>7.5866656000000005E-2</v>
      </c>
      <c r="I38" s="1">
        <f>IF(OR($C$3="EL",$C$3="CY",$C$3="IE",$C$3="PT"),VLOOKUP($C$3,$B$110:$T$114,MATCH(I$10,$B$110:$T$110,0),0),$F$38+('Input data'!$C$59-$F$38)/($P$10-$F$10)*(I10-$F$10))</f>
        <v>7.3506988999999995E-2</v>
      </c>
      <c r="J38" s="1">
        <f>IF(OR($C$3="EL",$C$3="CY",$C$3="IE",$C$3="PT"),VLOOKUP($C$3,$B$110:$T$114,MATCH(J$10,$B$110:$T$110,0),0),$F$38+('Input data'!$C$59-$F$38)/($P$10-$F$10)*(J10-$F$10))</f>
        <v>7.1147321999999999E-2</v>
      </c>
      <c r="K38" s="1">
        <f>IF(OR($C$3="EL",$C$3="CY",$C$3="IE",$C$3="PT"),VLOOKUP($C$3,$B$110:$T$114,MATCH(K$10,$B$110:$T$110,0),0),$F$38+('Input data'!$C$59-$F$38)/($P$10-$F$10)*(K10-$F$10))</f>
        <v>6.8787655000000003E-2</v>
      </c>
      <c r="L38" s="1">
        <f>IF(OR($C$3="EL",$C$3="CY",$C$3="IE",$C$3="PT"),VLOOKUP($C$3,$B$110:$T$114,MATCH(L$10,$B$110:$T$110,0),0),$F$38+('Input data'!$C$59-$F$38)/($P$10-$F$10)*(L10-$F$10))</f>
        <v>6.6427987999999993E-2</v>
      </c>
      <c r="M38" s="1">
        <f>IF(OR($C$3="EL",$C$3="CY",$C$3="IE",$C$3="PT"),VLOOKUP($C$3,$B$110:$T$114,MATCH(M$10,$B$110:$T$110,0),0),$F$38+('Input data'!$C$59-$F$38)/($P$10-$F$10)*(M10-$F$10))</f>
        <v>6.4068320999999998E-2</v>
      </c>
      <c r="N38" s="1">
        <f>IF(OR($C$3="EL",$C$3="CY",$C$3="IE",$C$3="PT"),VLOOKUP($C$3,$B$110:$T$114,MATCH(N$10,$B$110:$T$110,0),0),$F$38+('Input data'!$C$59-$F$38)/($P$10-$F$10)*(N10-$F$10))</f>
        <v>6.1708654000000002E-2</v>
      </c>
      <c r="O38" s="1">
        <f>IF(OR($C$3="EL",$C$3="CY",$C$3="IE",$C$3="PT"),VLOOKUP($C$3,$B$110:$T$114,MATCH(O$10,$B$110:$T$110,0),0),$F$38+('Input data'!$C$59-$F$38)/($P$10-$F$10)*(O10-$F$10))</f>
        <v>5.9348987000000006E-2</v>
      </c>
      <c r="P38" s="178">
        <f>IF(OR($C$3="EL",$C$3="CY",$C$3="IE",$C$3="PT"),VLOOKUP($C$3,$B$110:$T$114,MATCH(P$10,$B$110:$T$110,0),0),'Input data'!$C$59)</f>
        <v>5.6989320000000003E-2</v>
      </c>
      <c r="Q38" s="1">
        <f>IF(OR($C$3="EL",$C$3="CY",$C$3="IE",$C$3="PT"),VLOOKUP($C$3,$B$110:$T$114,MATCH(Q$10,$B$110:$T$110,0),0),'Input data'!$C$59)</f>
        <v>5.6989320000000003E-2</v>
      </c>
      <c r="R38" s="1">
        <f>IF(OR($C$3="EL",$C$3="CY",$C$3="IE",$C$3="PT"),VLOOKUP($C$3,$B$110:$T$114,MATCH(R$10,$B$110:$T$110,0),0),'Input data'!$C$59)</f>
        <v>5.6989320000000003E-2</v>
      </c>
      <c r="S38" s="1">
        <f>IF(OR($C$3="EL",$C$3="CY",$C$3="IE",$C$3="PT"),VLOOKUP($C$3,$B$110:$T$114,MATCH(S$10,$B$110:$T$110,0),0),'Input data'!$C$59)</f>
        <v>5.6989320000000003E-2</v>
      </c>
      <c r="T38" s="1">
        <f>IF(OR($C$3="EL",$C$3="CY",$C$3="IE",$C$3="PT"),VLOOKUP($C$3,$B$110:$T$114,MATCH(T$10,$B$110:$T$110,0),0),'Input data'!$C$59)</f>
        <v>5.6989320000000003E-2</v>
      </c>
      <c r="U38" s="1">
        <f>IF(OR($C$3="EL",$C$3="CY",$C$3="IE",$C$3="PT"),VLOOKUP($C$3,$B$110:$W$114,MATCH(U$10,$B$110:$W$110,0),0),'Input data'!$C$59)</f>
        <v>5.6989320000000003E-2</v>
      </c>
      <c r="V38" s="1">
        <f>IF(OR($C$3="EL",$C$3="CY",$C$3="IE",$C$3="PT"),VLOOKUP($C$3,$B$110:$W$114,MATCH(V$10,$B$110:$W$110,0),0),'Input data'!$C$59)</f>
        <v>5.6989320000000003E-2</v>
      </c>
      <c r="W38" s="1">
        <f>IF(OR($C$3="EL",$C$3="CY",$C$3="IE",$C$3="PT"),VLOOKUP($C$3,$B$110:$W$114,MATCH(W$10,$B$110:$W$110,0),0),'Input data'!$C$59)</f>
        <v>5.6989320000000003E-2</v>
      </c>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5"/>
    </row>
    <row r="39" spans="2:51" x14ac:dyDescent="0.2">
      <c r="C39" s="1"/>
      <c r="D39" s="1"/>
      <c r="E39" s="1"/>
      <c r="F39" s="1"/>
      <c r="G39" s="1"/>
      <c r="H39" s="1"/>
      <c r="I39" s="1"/>
      <c r="J39" s="1"/>
      <c r="K39" s="1"/>
      <c r="L39" s="1"/>
      <c r="M39" s="1"/>
      <c r="N39" s="1"/>
      <c r="O39" s="1"/>
      <c r="P39" s="1"/>
      <c r="Q39" s="1"/>
      <c r="R39" s="1"/>
      <c r="S39" s="1"/>
      <c r="T39" s="1"/>
      <c r="U39" s="1"/>
      <c r="V39" s="1"/>
      <c r="W39" s="1"/>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5"/>
    </row>
    <row r="40" spans="2:51" x14ac:dyDescent="0.2">
      <c r="B40" s="17" t="s">
        <v>66</v>
      </c>
      <c r="C40" s="1"/>
      <c r="D40" s="1"/>
      <c r="E40" s="1"/>
      <c r="F40" s="1"/>
      <c r="G40" s="80"/>
      <c r="H40" s="80"/>
      <c r="I40" s="80"/>
      <c r="J40" s="80"/>
      <c r="K40" s="80"/>
      <c r="L40" s="80"/>
      <c r="M40" s="80"/>
      <c r="N40" s="1"/>
      <c r="O40" s="80"/>
      <c r="P40" s="80"/>
      <c r="Q40" s="80"/>
      <c r="R40" s="1"/>
      <c r="S40" s="1"/>
      <c r="T40" s="1"/>
      <c r="U40" s="1"/>
      <c r="V40" s="1"/>
      <c r="W40" s="1"/>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5"/>
    </row>
    <row r="41" spans="2:51" x14ac:dyDescent="0.2">
      <c r="B41" s="15" t="s">
        <v>44</v>
      </c>
      <c r="C41" s="1">
        <f>'Input data'!C42</f>
        <v>6.9666290000000002</v>
      </c>
      <c r="D41" s="1">
        <f>'Input data'!D42</f>
        <v>15.91835</v>
      </c>
      <c r="E41" s="2">
        <f>'Input data'!E42</f>
        <v>7.9842040000000001</v>
      </c>
      <c r="F41" s="2">
        <f>'Input data'!F42</f>
        <v>4.782108</v>
      </c>
      <c r="G41" s="2">
        <f>'Input data'!G42</f>
        <v>2.3179340000000002</v>
      </c>
      <c r="H41" s="2">
        <f>'Input data'!H42</f>
        <v>2.7635109999999998</v>
      </c>
      <c r="I41" s="1">
        <f>$H$41+($P$41-$H$41)/($P$10-$H$10)*(I10-$H$10)</f>
        <v>2.7118221249999999</v>
      </c>
      <c r="J41" s="1">
        <f t="shared" ref="J41:O41" si="9">$H$41+($P$41-$H$41)/($P$10-$H$10)*(J10-$H$10)</f>
        <v>2.6601332499999999</v>
      </c>
      <c r="K41" s="1">
        <f t="shared" si="9"/>
        <v>2.6084443749999999</v>
      </c>
      <c r="L41" s="1">
        <f t="shared" si="9"/>
        <v>2.5567555</v>
      </c>
      <c r="M41" s="1">
        <f t="shared" si="9"/>
        <v>2.505066625</v>
      </c>
      <c r="N41" s="1">
        <f t="shared" si="9"/>
        <v>2.45337775</v>
      </c>
      <c r="O41" s="1">
        <f t="shared" si="9"/>
        <v>2.4016888750000001</v>
      </c>
      <c r="P41" s="178">
        <f>'Input data'!$C$61</f>
        <v>2.35</v>
      </c>
      <c r="Q41" s="1">
        <f>$P$41+('Input data'!$C$62-'Input data'!$C$61)/20*(Q$10-$P$10)</f>
        <v>2.3325</v>
      </c>
      <c r="R41" s="1">
        <f>$P$41+('Input data'!$C$62-'Input data'!$C$61)/20*(R$10-$P$10)</f>
        <v>2.3149999999999999</v>
      </c>
      <c r="S41" s="1">
        <f>$P$41+('Input data'!$C$62-'Input data'!$C$61)/20*(S$10-$P$10)</f>
        <v>2.2974999999999999</v>
      </c>
      <c r="T41" s="1">
        <f>$P$41+('Input data'!$C$62-'Input data'!$C$61)/20*(T$10-$P$10)</f>
        <v>2.2800000000000002</v>
      </c>
      <c r="U41" s="1">
        <f>$P$41+('Input data'!$C$62-'Input data'!$C$61)/20*(U$10-$P$10)</f>
        <v>2.2625000000000002</v>
      </c>
      <c r="V41" s="1">
        <f>$P$41+('Input data'!$C$62-'Input data'!$C$61)/20*(V$10-$P$10)</f>
        <v>2.2450000000000001</v>
      </c>
      <c r="W41" s="1">
        <f>$P$41+('Input data'!$C$62-'Input data'!$C$61)/20*(W$10-$P$10)</f>
        <v>2.2275</v>
      </c>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5"/>
    </row>
    <row r="42" spans="2:51" x14ac:dyDescent="0.2">
      <c r="B42" s="15" t="s">
        <v>67</v>
      </c>
      <c r="C42" s="1">
        <v>0.99984269999999997</v>
      </c>
      <c r="D42" s="1">
        <v>1.0005489999999999</v>
      </c>
      <c r="E42" s="1">
        <v>0.99989380000000005</v>
      </c>
      <c r="F42" s="1">
        <v>0.99997709999999995</v>
      </c>
      <c r="G42" s="1">
        <v>1.000008</v>
      </c>
      <c r="H42" s="1">
        <v>1</v>
      </c>
      <c r="I42" s="1">
        <v>1</v>
      </c>
      <c r="J42" s="1">
        <v>1</v>
      </c>
      <c r="K42" s="1">
        <v>1</v>
      </c>
      <c r="L42" s="1">
        <v>1</v>
      </c>
      <c r="M42" s="1">
        <v>1</v>
      </c>
      <c r="N42" s="1">
        <v>1</v>
      </c>
      <c r="O42" s="1">
        <v>1</v>
      </c>
      <c r="P42" s="1">
        <v>1</v>
      </c>
      <c r="Q42" s="1">
        <v>1</v>
      </c>
      <c r="R42" s="1">
        <v>1</v>
      </c>
      <c r="S42" s="1">
        <v>1</v>
      </c>
      <c r="T42" s="1">
        <v>1</v>
      </c>
      <c r="U42" s="1">
        <v>1</v>
      </c>
      <c r="V42" s="1">
        <v>1</v>
      </c>
      <c r="W42" s="1">
        <v>1</v>
      </c>
      <c r="X42" s="1"/>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5"/>
    </row>
    <row r="43" spans="2:51" x14ac:dyDescent="0.2">
      <c r="C43" s="25"/>
    </row>
    <row r="44" spans="2:51" s="56" customFormat="1" ht="12.75" x14ac:dyDescent="0.2">
      <c r="B44" s="60" t="s">
        <v>68</v>
      </c>
      <c r="C44" s="330"/>
    </row>
    <row r="45" spans="2:51" x14ac:dyDescent="0.2">
      <c r="C45" s="25"/>
    </row>
    <row r="46" spans="2:51" x14ac:dyDescent="0.2">
      <c r="B46" s="39" t="s">
        <v>46</v>
      </c>
      <c r="C46" s="40">
        <f>'Input data'!C49</f>
        <v>0.75</v>
      </c>
    </row>
    <row r="47" spans="2:51" x14ac:dyDescent="0.2">
      <c r="B47" s="41" t="s">
        <v>181</v>
      </c>
      <c r="C47" s="42">
        <f>'Input data'!C50</f>
        <v>0.29799999999999999</v>
      </c>
    </row>
    <row r="48" spans="2:51" x14ac:dyDescent="0.2">
      <c r="C48" s="43"/>
    </row>
    <row r="49" spans="2:48" outlineLevel="1" x14ac:dyDescent="0.2">
      <c r="B49" s="15" t="s">
        <v>69</v>
      </c>
      <c r="C49" s="23"/>
      <c r="D49" s="23">
        <f>IF(AND(ABS((D12-C12)-('Input data'!D13-'Input data'!C13))&gt;0.0001,ABS(D12-C12)&gt;0.0001,D$10&gt;$C$5),4,IF(C49=4,3,IF(C49=3,2,IF(C49=2,1,0))))</f>
        <v>0</v>
      </c>
      <c r="E49" s="23">
        <f>IF(AND(ABS((E12-D12)-('Input data'!E13-'Input data'!D13))&gt;0.0001,ABS(E12-D12)&gt;0.0001,E$10&gt;$C$5),4,IF(D49=4,3,IF(D49=3,2,IF(D49=2,1,0))))</f>
        <v>0</v>
      </c>
      <c r="F49" s="23">
        <f>IF(AND(ABS((F12-E12)-('Input data'!F13-'Input data'!E13))&gt;0.0001,ABS(F12-E12)&gt;0.0001,F$10&gt;$C$5),4,IF(E49=4,3,IF(E49=3,2,IF(E49=2,1,0))))</f>
        <v>0</v>
      </c>
      <c r="G49" s="23">
        <f>IF(AND(ABS(G12-F12)&gt;0.0001,G$10&gt;$C$5),4,IF(F49=4,3,IF(F49=3,2,IF(F49=2,1,0))))</f>
        <v>0</v>
      </c>
      <c r="H49" s="23">
        <f t="shared" ref="H49:W49" si="10">IF(AND(ABS(H12-G12)&gt;0.0001,H$10&gt;$C$5),4,IF(G49=4,3,IF(G49=3,2,IF(G49=2,1,0))))</f>
        <v>0</v>
      </c>
      <c r="I49" s="23">
        <f t="shared" si="10"/>
        <v>0</v>
      </c>
      <c r="J49" s="23">
        <f t="shared" si="10"/>
        <v>0</v>
      </c>
      <c r="K49" s="23">
        <f t="shared" si="10"/>
        <v>0</v>
      </c>
      <c r="L49" s="23">
        <f t="shared" si="10"/>
        <v>0</v>
      </c>
      <c r="M49" s="23">
        <f t="shared" si="10"/>
        <v>0</v>
      </c>
      <c r="N49" s="23">
        <f t="shared" si="10"/>
        <v>0</v>
      </c>
      <c r="O49" s="23">
        <f t="shared" si="10"/>
        <v>0</v>
      </c>
      <c r="P49" s="23">
        <f t="shared" si="10"/>
        <v>0</v>
      </c>
      <c r="Q49" s="23">
        <f t="shared" si="10"/>
        <v>0</v>
      </c>
      <c r="R49" s="23">
        <f t="shared" si="10"/>
        <v>0</v>
      </c>
      <c r="S49" s="23">
        <f t="shared" si="10"/>
        <v>0</v>
      </c>
      <c r="T49" s="23">
        <f t="shared" si="10"/>
        <v>0</v>
      </c>
      <c r="U49" s="23">
        <f t="shared" si="10"/>
        <v>0</v>
      </c>
      <c r="V49" s="23">
        <f t="shared" si="10"/>
        <v>0</v>
      </c>
      <c r="W49" s="23">
        <f t="shared" si="10"/>
        <v>0</v>
      </c>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row>
    <row r="50" spans="2:48" outlineLevel="1" x14ac:dyDescent="0.2">
      <c r="B50" s="15" t="s">
        <v>70</v>
      </c>
      <c r="C50" s="23"/>
      <c r="D50" s="23">
        <f t="shared" ref="D50:W50" si="11">IF(C49=4,2/3*C29,IF(C49=3,1/3*B29,0))</f>
        <v>0</v>
      </c>
      <c r="E50" s="23">
        <f t="shared" si="11"/>
        <v>0</v>
      </c>
      <c r="F50" s="23">
        <f t="shared" si="11"/>
        <v>0</v>
      </c>
      <c r="G50" s="23">
        <f t="shared" si="11"/>
        <v>0</v>
      </c>
      <c r="H50" s="23">
        <f t="shared" si="11"/>
        <v>0</v>
      </c>
      <c r="I50" s="23">
        <f t="shared" si="11"/>
        <v>0</v>
      </c>
      <c r="J50" s="23">
        <f t="shared" si="11"/>
        <v>0</v>
      </c>
      <c r="K50" s="23">
        <f t="shared" si="11"/>
        <v>0</v>
      </c>
      <c r="L50" s="23">
        <f t="shared" si="11"/>
        <v>0</v>
      </c>
      <c r="M50" s="23">
        <f t="shared" si="11"/>
        <v>0</v>
      </c>
      <c r="N50" s="23">
        <f t="shared" si="11"/>
        <v>0</v>
      </c>
      <c r="O50" s="23">
        <f t="shared" si="11"/>
        <v>0</v>
      </c>
      <c r="P50" s="23">
        <f t="shared" si="11"/>
        <v>0</v>
      </c>
      <c r="Q50" s="23">
        <f t="shared" si="11"/>
        <v>0</v>
      </c>
      <c r="R50" s="23">
        <f t="shared" si="11"/>
        <v>0</v>
      </c>
      <c r="S50" s="23">
        <f t="shared" si="11"/>
        <v>0</v>
      </c>
      <c r="T50" s="23">
        <f t="shared" si="11"/>
        <v>0</v>
      </c>
      <c r="U50" s="23">
        <f t="shared" si="11"/>
        <v>0</v>
      </c>
      <c r="V50" s="23">
        <f t="shared" si="11"/>
        <v>0</v>
      </c>
      <c r="W50" s="23">
        <f t="shared" si="11"/>
        <v>0</v>
      </c>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row>
    <row r="51" spans="2:48" outlineLevel="1" x14ac:dyDescent="0.2">
      <c r="B51" s="15" t="s">
        <v>71</v>
      </c>
      <c r="C51" s="23"/>
      <c r="D51" s="23">
        <f>'Input data'!D30-$C$46*((D12-C12)-('Input data'!D13-'Input data'!C13))</f>
        <v>4.0387769999999996</v>
      </c>
      <c r="E51" s="23">
        <f>'Input data'!E30-$C$46*((E12-D12)-('Input data'!E13-'Input data'!D13))</f>
        <v>1.886822</v>
      </c>
      <c r="F51" s="23">
        <f>'Input data'!F30-$C$46*((F12-E12)-('Input data'!F13-'Input data'!E13))</f>
        <v>2.4116029999999999</v>
      </c>
      <c r="G51" s="23">
        <f>'Input data'!G30-$C$46*((G12-F12)-('Input data'!G13-'Input data'!F13))</f>
        <v>4.2754864999999995</v>
      </c>
      <c r="H51" s="23">
        <f>'Input data'!H30-$C$46*((H12-G12))</f>
        <v>2.9032589999999998</v>
      </c>
      <c r="I51" s="23">
        <f>'Input data'!I30-$C$46*((I12-H12))</f>
        <v>2.2260339999999998</v>
      </c>
      <c r="J51" s="23">
        <f>'Input data'!J30-$C$46*((J12-I12))</f>
        <v>1.931333</v>
      </c>
      <c r="K51" s="23">
        <f>'Input data'!K30-$C$46*((K12-J12))</f>
        <v>1.931135</v>
      </c>
      <c r="L51" s="23">
        <f>'Input data'!L30-$C$46*((L12-K12))</f>
        <v>1.9756419999999999</v>
      </c>
      <c r="M51" s="23">
        <f>'Input data'!M30-$C$46*((M12-L12))</f>
        <v>1.8373889999999999</v>
      </c>
      <c r="N51" s="23">
        <f>'Input data'!N30-$C$46*((N12-M12))</f>
        <v>1.7429809999999999</v>
      </c>
      <c r="O51" s="23">
        <f>'Input data'!O30-$C$46*((O12-N12))</f>
        <v>1.6372230000000001</v>
      </c>
      <c r="P51" s="23">
        <f>'Input data'!P30-$C$46*((P12-O12))</f>
        <v>1.606185</v>
      </c>
      <c r="Q51" s="23">
        <f>'Input data'!Q30-$C$46*((Q12-P12))</f>
        <v>1.6009679999999999</v>
      </c>
      <c r="R51" s="23">
        <f>'Input data'!R30-$C$46*((R12-Q12))</f>
        <v>1.5957380000000001</v>
      </c>
      <c r="S51" s="23">
        <f>'Input data'!S30-$C$46*((S12-R12))</f>
        <v>1.590525</v>
      </c>
      <c r="T51" s="23">
        <f>'Input data'!T30-$C$46*((T12-S12))</f>
        <v>1.5116609999999999</v>
      </c>
      <c r="U51" s="23">
        <f>'Input data'!U30-$C$46*((U12-T12))</f>
        <v>1.4425760000000001</v>
      </c>
      <c r="V51" s="23">
        <f>'Input data'!V30-$C$46*((V12-U12))</f>
        <v>1.38703</v>
      </c>
      <c r="W51" s="23">
        <f>'Input data'!W30-$C$46*((W12-V12))</f>
        <v>1.3380289999999999</v>
      </c>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row>
    <row r="52" spans="2:48" x14ac:dyDescent="0.2">
      <c r="C52" s="25"/>
    </row>
    <row r="53" spans="2:48" s="56" customFormat="1" ht="12.75" outlineLevel="1" x14ac:dyDescent="0.2">
      <c r="B53" s="57" t="s">
        <v>72</v>
      </c>
      <c r="C53" s="58"/>
      <c r="E53" s="59"/>
      <c r="F53" s="58"/>
    </row>
    <row r="54" spans="2:48" outlineLevel="1" x14ac:dyDescent="0.2">
      <c r="B54" s="30"/>
      <c r="C54" s="18"/>
      <c r="E54" s="31"/>
      <c r="F54" s="18"/>
    </row>
    <row r="55" spans="2:48" outlineLevel="1" x14ac:dyDescent="0.2">
      <c r="B55" s="65"/>
      <c r="C55" s="66">
        <v>2021</v>
      </c>
      <c r="D55" s="66">
        <v>2022</v>
      </c>
      <c r="E55" s="66">
        <v>2023</v>
      </c>
      <c r="F55" s="66">
        <v>2024</v>
      </c>
      <c r="G55" s="66">
        <v>2025</v>
      </c>
      <c r="H55" s="66">
        <v>2026</v>
      </c>
      <c r="I55" s="66">
        <v>2027</v>
      </c>
      <c r="J55" s="66">
        <v>2028</v>
      </c>
      <c r="K55" s="66">
        <v>2029</v>
      </c>
      <c r="L55" s="66">
        <v>2030</v>
      </c>
      <c r="M55" s="66">
        <v>2031</v>
      </c>
      <c r="N55" s="66">
        <v>2032</v>
      </c>
      <c r="O55" s="66">
        <v>2033</v>
      </c>
      <c r="P55" s="66">
        <v>2034</v>
      </c>
      <c r="Q55" s="66">
        <v>2035</v>
      </c>
      <c r="R55" s="66">
        <v>2036</v>
      </c>
      <c r="S55" s="66">
        <v>2037</v>
      </c>
      <c r="T55" s="66">
        <v>2038</v>
      </c>
      <c r="U55" s="66">
        <v>2039</v>
      </c>
      <c r="V55" s="66">
        <v>2040</v>
      </c>
      <c r="W55" s="66">
        <v>2041</v>
      </c>
    </row>
    <row r="56" spans="2:48" ht="10.5" customHeight="1" outlineLevel="1" x14ac:dyDescent="0.2">
      <c r="B56" s="67" t="s">
        <v>73</v>
      </c>
      <c r="C56" s="32">
        <f>+'Input data'!C12</f>
        <v>23.835270000000001</v>
      </c>
      <c r="D56" s="32">
        <f>+C56+D57</f>
        <v>22.482045858028972</v>
      </c>
      <c r="E56" s="32">
        <f t="shared" ref="E56:T56" si="12">+D56+E57</f>
        <v>22.884294685123706</v>
      </c>
      <c r="F56" s="32">
        <f>+E56+F57</f>
        <v>24.494983925203403</v>
      </c>
      <c r="G56" s="32">
        <f>+F56+G57</f>
        <v>23.227988623762442</v>
      </c>
      <c r="H56" s="32">
        <f t="shared" si="12"/>
        <v>24.53635204564273</v>
      </c>
      <c r="I56" s="32">
        <f t="shared" si="12"/>
        <v>26.201117307568566</v>
      </c>
      <c r="J56" s="32">
        <f t="shared" si="12"/>
        <v>27.92589419266686</v>
      </c>
      <c r="K56" s="32">
        <f t="shared" si="12"/>
        <v>29.610056403650937</v>
      </c>
      <c r="L56" s="32">
        <f t="shared" si="12"/>
        <v>31.246329635464317</v>
      </c>
      <c r="M56" s="32">
        <f t="shared" si="12"/>
        <v>32.897297607833409</v>
      </c>
      <c r="N56" s="32">
        <f t="shared" si="12"/>
        <v>34.559565386362678</v>
      </c>
      <c r="O56" s="32">
        <f t="shared" si="12"/>
        <v>36.235140968359588</v>
      </c>
      <c r="P56" s="32">
        <f t="shared" si="12"/>
        <v>37.911257812458963</v>
      </c>
      <c r="Q56" s="32">
        <f t="shared" si="12"/>
        <v>39.563690071238334</v>
      </c>
      <c r="R56" s="32">
        <f>+Q56+R57</f>
        <v>41.194398768937958</v>
      </c>
      <c r="S56" s="32">
        <f t="shared" si="12"/>
        <v>42.79414771844182</v>
      </c>
      <c r="T56" s="32">
        <f t="shared" si="12"/>
        <v>44.397783160896154</v>
      </c>
      <c r="U56" s="32">
        <f t="shared" ref="U56" si="13">+T56+U57</f>
        <v>46.025385329640038</v>
      </c>
      <c r="V56" s="32">
        <f t="shared" ref="V56" si="14">+U56+V57</f>
        <v>47.681383668509511</v>
      </c>
      <c r="W56" s="32">
        <f t="shared" ref="W56" si="15">+V56+W57</f>
        <v>49.398543966800901</v>
      </c>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row>
    <row r="57" spans="2:48" outlineLevel="1" x14ac:dyDescent="0.2">
      <c r="B57" s="68" t="s">
        <v>74</v>
      </c>
      <c r="C57" s="33"/>
      <c r="D57" s="33">
        <f>-D58+D66+D71</f>
        <v>-1.3532241419710298</v>
      </c>
      <c r="E57" s="33">
        <f t="shared" ref="E57:T57" si="16">-E58+E66+E71</f>
        <v>0.40224882709473497</v>
      </c>
      <c r="F57" s="33">
        <f>-F58+F66+F71</f>
        <v>1.6106892400796977</v>
      </c>
      <c r="G57" s="33">
        <f>-G58+G66+G71</f>
        <v>-1.2669953014409616</v>
      </c>
      <c r="H57" s="33">
        <f t="shared" si="16"/>
        <v>1.3083634218802875</v>
      </c>
      <c r="I57" s="33">
        <f t="shared" si="16"/>
        <v>1.6647652619258357</v>
      </c>
      <c r="J57" s="33">
        <f t="shared" si="16"/>
        <v>1.7247768850982932</v>
      </c>
      <c r="K57" s="33">
        <f t="shared" si="16"/>
        <v>1.6841622109840779</v>
      </c>
      <c r="L57" s="33">
        <f t="shared" si="16"/>
        <v>1.6362732318133815</v>
      </c>
      <c r="M57" s="33">
        <f t="shared" si="16"/>
        <v>1.6509679723690898</v>
      </c>
      <c r="N57" s="33">
        <f t="shared" si="16"/>
        <v>1.6622677785292679</v>
      </c>
      <c r="O57" s="33">
        <f t="shared" si="16"/>
        <v>1.6755755819969131</v>
      </c>
      <c r="P57" s="33">
        <f t="shared" si="16"/>
        <v>1.6761168440993779</v>
      </c>
      <c r="Q57" s="33">
        <f t="shared" si="16"/>
        <v>1.6524322587793694</v>
      </c>
      <c r="R57" s="33">
        <f>-R58+R66+R71</f>
        <v>1.630708697699621</v>
      </c>
      <c r="S57" s="33">
        <f t="shared" si="16"/>
        <v>1.5997489495038595</v>
      </c>
      <c r="T57" s="33">
        <f t="shared" si="16"/>
        <v>1.6036354424543351</v>
      </c>
      <c r="U57" s="33">
        <f t="shared" ref="U57:W57" si="17">-U58+U66+U71</f>
        <v>1.6276021687438873</v>
      </c>
      <c r="V57" s="33">
        <f t="shared" si="17"/>
        <v>1.6559983388694761</v>
      </c>
      <c r="W57" s="33">
        <f t="shared" si="17"/>
        <v>1.7171602982913865</v>
      </c>
    </row>
    <row r="58" spans="2:48" outlineLevel="1" x14ac:dyDescent="0.2">
      <c r="B58" s="64" t="s">
        <v>75</v>
      </c>
      <c r="C58" s="34"/>
      <c r="D58" s="34">
        <f>D59+D60-D61-D62-D63-D64-D65</f>
        <v>-2.4978640580289704</v>
      </c>
      <c r="E58" s="34">
        <f>E59+E60-E61-E62-E63-E64-E65</f>
        <v>-1.508917127094735</v>
      </c>
      <c r="F58" s="34">
        <f>F59+F60-F61-F62-F63-F64-F65</f>
        <v>-2.0392726400796977</v>
      </c>
      <c r="G58" s="34">
        <f t="shared" ref="G58:T58" si="18">G59+G60-G61-G62-G63-G64-G65</f>
        <v>-2.2961134985590381</v>
      </c>
      <c r="H58" s="34">
        <f t="shared" si="18"/>
        <v>-2.1716309753410021</v>
      </c>
      <c r="I58" s="34">
        <f t="shared" si="18"/>
        <v>-2.1769306420574943</v>
      </c>
      <c r="J58" s="34">
        <f t="shared" si="18"/>
        <v>-2.1155317606184809</v>
      </c>
      <c r="K58" s="34">
        <f t="shared" si="18"/>
        <v>-2.0229522662353592</v>
      </c>
      <c r="L58" s="34">
        <f t="shared" si="18"/>
        <v>-1.9342171429151838</v>
      </c>
      <c r="M58" s="34">
        <f t="shared" si="18"/>
        <v>-1.8517595576685184</v>
      </c>
      <c r="N58" s="34">
        <f t="shared" si="18"/>
        <v>-1.773243850563377</v>
      </c>
      <c r="O58" s="34">
        <f t="shared" si="18"/>
        <v>-1.6870372641641078</v>
      </c>
      <c r="P58" s="34">
        <f t="shared" si="18"/>
        <v>-1.6081818507424923</v>
      </c>
      <c r="Q58" s="34">
        <f t="shared" si="18"/>
        <v>-1.531573970829704</v>
      </c>
      <c r="R58" s="34">
        <f t="shared" si="18"/>
        <v>-1.4617694374264443</v>
      </c>
      <c r="S58" s="34">
        <f t="shared" si="18"/>
        <v>-1.3872022640887922</v>
      </c>
      <c r="T58" s="34">
        <f t="shared" si="18"/>
        <v>-1.3204762640887899</v>
      </c>
      <c r="U58" s="34">
        <f t="shared" ref="U58:W58" si="19">U59+U60-U61-U62-U63-U64-U65</f>
        <v>-1.2794086765643389</v>
      </c>
      <c r="V58" s="34">
        <f t="shared" si="19"/>
        <v>-1.2500220887179889</v>
      </c>
      <c r="W58" s="34">
        <f t="shared" si="19"/>
        <v>-1.2576649124567389</v>
      </c>
    </row>
    <row r="59" spans="2:48" outlineLevel="1" x14ac:dyDescent="0.2">
      <c r="B59" s="63" t="s">
        <v>76</v>
      </c>
      <c r="C59" s="1"/>
      <c r="D59" s="1">
        <f>D12</f>
        <v>-3.0163250000000001</v>
      </c>
      <c r="E59" s="1">
        <f>E12</f>
        <v>-1.7785709999999999</v>
      </c>
      <c r="F59" s="1">
        <f>F12</f>
        <v>-2.0899299999999998</v>
      </c>
      <c r="G59" s="1">
        <f t="shared" ref="G59:W59" si="20">IF(G12="",F59,G12)</f>
        <v>-2.0899299999999998</v>
      </c>
      <c r="H59" s="1">
        <f>IF(H12="",G59,H12)</f>
        <v>-2.0899299999999998</v>
      </c>
      <c r="I59" s="1">
        <f t="shared" si="20"/>
        <v>-2.0899299999999998</v>
      </c>
      <c r="J59" s="1">
        <f t="shared" si="20"/>
        <v>-2.0899299999999998</v>
      </c>
      <c r="K59" s="1">
        <f t="shared" si="20"/>
        <v>-2.0899299999999998</v>
      </c>
      <c r="L59" s="1">
        <f t="shared" si="20"/>
        <v>-2.0899299999999998</v>
      </c>
      <c r="M59" s="1">
        <f t="shared" si="20"/>
        <v>-2.0899299999999998</v>
      </c>
      <c r="N59" s="1">
        <f t="shared" si="20"/>
        <v>-2.0899299999999998</v>
      </c>
      <c r="O59" s="1">
        <f t="shared" si="20"/>
        <v>-2.0899299999999998</v>
      </c>
      <c r="P59" s="1">
        <f t="shared" si="20"/>
        <v>-2.0899299999999998</v>
      </c>
      <c r="Q59" s="1">
        <f t="shared" si="20"/>
        <v>-2.0899299999999998</v>
      </c>
      <c r="R59" s="1">
        <f t="shared" si="20"/>
        <v>-2.0899299999999998</v>
      </c>
      <c r="S59" s="1">
        <f t="shared" si="20"/>
        <v>-2.0899299999999998</v>
      </c>
      <c r="T59" s="1">
        <f t="shared" si="20"/>
        <v>-2.0899299999999998</v>
      </c>
      <c r="U59" s="1">
        <f t="shared" si="20"/>
        <v>-2.0899299999999998</v>
      </c>
      <c r="V59" s="1">
        <f t="shared" si="20"/>
        <v>-2.0899299999999998</v>
      </c>
      <c r="W59" s="1">
        <f t="shared" si="20"/>
        <v>-2.0899299999999998</v>
      </c>
    </row>
    <row r="60" spans="2:48" outlineLevel="1" x14ac:dyDescent="0.2">
      <c r="B60" s="63" t="s">
        <v>77</v>
      </c>
      <c r="C60" s="1"/>
      <c r="D60" s="1">
        <v>0</v>
      </c>
      <c r="E60" s="1">
        <v>0</v>
      </c>
      <c r="F60" s="1">
        <v>0</v>
      </c>
      <c r="G60" s="1">
        <v>0</v>
      </c>
      <c r="H60" s="1">
        <v>0</v>
      </c>
      <c r="I60" s="1">
        <v>0</v>
      </c>
      <c r="J60" s="1">
        <v>0</v>
      </c>
      <c r="K60" s="1">
        <v>0</v>
      </c>
      <c r="L60" s="1">
        <v>0</v>
      </c>
      <c r="M60" s="1">
        <v>0</v>
      </c>
      <c r="N60" s="1">
        <v>0</v>
      </c>
      <c r="O60" s="1">
        <v>0</v>
      </c>
      <c r="P60" s="1">
        <v>0</v>
      </c>
      <c r="Q60" s="1">
        <v>0</v>
      </c>
      <c r="R60" s="1">
        <v>0</v>
      </c>
      <c r="S60" s="1">
        <v>0</v>
      </c>
      <c r="T60" s="1">
        <v>0</v>
      </c>
      <c r="U60" s="1">
        <v>0</v>
      </c>
      <c r="V60" s="1">
        <v>0</v>
      </c>
      <c r="W60" s="1">
        <v>0</v>
      </c>
    </row>
    <row r="61" spans="2:48" outlineLevel="1" x14ac:dyDescent="0.2">
      <c r="B61" s="63" t="s">
        <v>78</v>
      </c>
      <c r="C61" s="1"/>
      <c r="D61" s="1">
        <f t="shared" ref="D61:W61" si="21">-$C$47*D29</f>
        <v>-0.51846094197102965</v>
      </c>
      <c r="E61" s="1">
        <f t="shared" si="21"/>
        <v>-0.26965387290526494</v>
      </c>
      <c r="F61" s="1">
        <f t="shared" si="21"/>
        <v>-5.0657359920302E-2</v>
      </c>
      <c r="G61" s="1">
        <f t="shared" si="21"/>
        <v>-3.1210501440960579E-2</v>
      </c>
      <c r="H61" s="1">
        <f>-$C$47*H29</f>
        <v>-0.16615702465899554</v>
      </c>
      <c r="I61" s="1">
        <f t="shared" si="21"/>
        <v>-0.1107703579425042</v>
      </c>
      <c r="J61" s="1">
        <f>-$C$47*J29</f>
        <v>-5.5383239381516874E-2</v>
      </c>
      <c r="K61" s="1">
        <f t="shared" si="21"/>
        <v>3.2662353611323523E-6</v>
      </c>
      <c r="L61" s="1">
        <f t="shared" si="21"/>
        <v>4.1429151861338553E-6</v>
      </c>
      <c r="M61" s="1">
        <f t="shared" si="21"/>
        <v>3.5576685169402819E-6</v>
      </c>
      <c r="N61" s="1">
        <f t="shared" si="21"/>
        <v>3.8505633755736563E-6</v>
      </c>
      <c r="O61" s="1">
        <f t="shared" si="21"/>
        <v>3.2641641100950024E-6</v>
      </c>
      <c r="P61" s="1">
        <f t="shared" si="21"/>
        <v>3.8507424925393607E-6</v>
      </c>
      <c r="Q61" s="1">
        <f t="shared" si="21"/>
        <v>2.9708297053954167E-6</v>
      </c>
      <c r="R61" s="1">
        <f t="shared" si="21"/>
        <v>4.4374264447810676E-6</v>
      </c>
      <c r="S61" s="1">
        <f t="shared" si="21"/>
        <v>3.2640887928980788E-6</v>
      </c>
      <c r="T61" s="1">
        <f t="shared" si="21"/>
        <v>3.2640887895896142E-6</v>
      </c>
      <c r="U61" s="1">
        <f t="shared" si="21"/>
        <v>2.6765643384552005E-6</v>
      </c>
      <c r="V61" s="1">
        <f t="shared" si="21"/>
        <v>2.0887179869477632E-6</v>
      </c>
      <c r="W61" s="1">
        <f t="shared" si="21"/>
        <v>9.1245674083140216E-7</v>
      </c>
    </row>
    <row r="62" spans="2:48" outlineLevel="1" x14ac:dyDescent="0.2">
      <c r="B62" s="63" t="s">
        <v>79</v>
      </c>
      <c r="C62" s="1"/>
      <c r="D62" s="1">
        <f t="shared" ref="D62:W62" si="22">-D13</f>
        <v>0</v>
      </c>
      <c r="E62" s="1">
        <f t="shared" si="22"/>
        <v>0</v>
      </c>
      <c r="F62" s="1">
        <f t="shared" si="22"/>
        <v>0</v>
      </c>
      <c r="G62" s="1">
        <f t="shared" si="22"/>
        <v>0</v>
      </c>
      <c r="H62" s="1">
        <f>-H13</f>
        <v>0</v>
      </c>
      <c r="I62" s="1">
        <f t="shared" si="22"/>
        <v>0</v>
      </c>
      <c r="J62" s="1">
        <f t="shared" si="22"/>
        <v>0</v>
      </c>
      <c r="K62" s="1">
        <f t="shared" si="22"/>
        <v>0</v>
      </c>
      <c r="L62" s="1">
        <f t="shared" si="22"/>
        <v>0</v>
      </c>
      <c r="M62" s="1">
        <f t="shared" si="22"/>
        <v>0</v>
      </c>
      <c r="N62" s="1">
        <f t="shared" si="22"/>
        <v>0</v>
      </c>
      <c r="O62" s="1">
        <f t="shared" si="22"/>
        <v>0</v>
      </c>
      <c r="P62" s="1">
        <f t="shared" si="22"/>
        <v>0</v>
      </c>
      <c r="Q62" s="1">
        <f t="shared" si="22"/>
        <v>0</v>
      </c>
      <c r="R62" s="1">
        <f t="shared" si="22"/>
        <v>0</v>
      </c>
      <c r="S62" s="1">
        <f t="shared" si="22"/>
        <v>0</v>
      </c>
      <c r="T62" s="1">
        <f t="shared" si="22"/>
        <v>0</v>
      </c>
      <c r="U62" s="1">
        <f t="shared" si="22"/>
        <v>0</v>
      </c>
      <c r="V62" s="1">
        <f t="shared" si="22"/>
        <v>0</v>
      </c>
      <c r="W62" s="1">
        <f t="shared" si="22"/>
        <v>0</v>
      </c>
    </row>
    <row r="63" spans="2:48" outlineLevel="1" x14ac:dyDescent="0.2">
      <c r="B63" s="63" t="s">
        <v>80</v>
      </c>
      <c r="C63" s="1"/>
      <c r="D63" s="1">
        <f>IF(D$55&lt;=$C$5,0,HLOOKUP(D$55,'Input data'!$C$9:$BB$26,12,FALSE)-HLOOKUP($C$5,'Input data'!$C$9:$BB$26,12,FALSE))</f>
        <v>0</v>
      </c>
      <c r="E63" s="1">
        <f>IF(E$55&lt;=$C$5,0,HLOOKUP(E$55,'Input data'!$C$9:$BB$26,12,FALSE)-HLOOKUP($C$5,'Input data'!$C$9:$BB$26,12,FALSE))</f>
        <v>0</v>
      </c>
      <c r="F63" s="1">
        <f>IF(F$55&lt;=$C$5,0,HLOOKUP(F$55,'Input data'!$C$9:$BB$26,12,FALSE)-HLOOKUP($C$5,'Input data'!$C$9:$BB$26,12,FALSE))</f>
        <v>0</v>
      </c>
      <c r="G63" s="1">
        <f>IF(G$55&lt;=$C$5,0,HLOOKUP(G$55,'Input data'!$C$9:$BB$26,12,FALSE)-HLOOKUP($C$5,'Input data'!$C$9:$BB$26,12,FALSE))</f>
        <v>0.22975999999999885</v>
      </c>
      <c r="H63" s="1">
        <f>IF(H$55&lt;=$C$5,0,HLOOKUP(H$55,'Input data'!$C$9:$BB$26,12,FALSE)-HLOOKUP($C$5,'Input data'!$C$9:$BB$26,12,FALSE))</f>
        <v>0.2325899999999983</v>
      </c>
      <c r="I63" s="1">
        <f>IF(I$55&lt;=$C$5,0,HLOOKUP(I$55,'Input data'!$C$9:$BB$26,12,FALSE)-HLOOKUP($C$5,'Input data'!$C$9:$BB$26,12,FALSE))</f>
        <v>0.17486999999999853</v>
      </c>
      <c r="J63" s="1">
        <f>IF(J$55&lt;=$C$5,0,HLOOKUP(J$55,'Input data'!$C$9:$BB$26,12,FALSE)-HLOOKUP($C$5,'Input data'!$C$9:$BB$26,12,FALSE))</f>
        <v>5.0449999999997885E-2</v>
      </c>
      <c r="K63" s="1">
        <f>IF(K$55&lt;=$C$5,0,HLOOKUP(K$55,'Input data'!$C$9:$BB$26,12,FALSE)-HLOOKUP($C$5,'Input data'!$C$9:$BB$26,12,FALSE))</f>
        <v>-0.10515000000000185</v>
      </c>
      <c r="L63" s="1">
        <f>IF(L$55&lt;=$C$5,0,HLOOKUP(L$55,'Input data'!$C$9:$BB$26,12,FALSE)-HLOOKUP($C$5,'Input data'!$C$9:$BB$26,12,FALSE))</f>
        <v>-0.20152000000000214</v>
      </c>
      <c r="M63" s="1">
        <f>IF(M$55&lt;=$C$5,0,HLOOKUP(M$55,'Input data'!$C$9:$BB$26,12,FALSE)-HLOOKUP($C$5,'Input data'!$C$9:$BB$26,12,FALSE))</f>
        <v>-0.29160999999999859</v>
      </c>
      <c r="N63" s="1">
        <f>IF(N$55&lt;=$C$5,0,HLOOKUP(N$55,'Input data'!$C$9:$BB$26,12,FALSE)-HLOOKUP($C$5,'Input data'!$C$9:$BB$26,12,FALSE))</f>
        <v>-0.37775999999999854</v>
      </c>
      <c r="O63" s="1">
        <f>IF(O$55&lt;=$C$5,0,HLOOKUP(O$55,'Input data'!$C$9:$BB$26,12,FALSE)-HLOOKUP($C$5,'Input data'!$C$9:$BB$26,12,FALSE))</f>
        <v>-0.47160000000000224</v>
      </c>
      <c r="P63" s="1">
        <f>IF(P$55&lt;=$C$5,0,HLOOKUP(P$55,'Input data'!$C$9:$BB$26,12,FALSE)-HLOOKUP($C$5,'Input data'!$C$9:$BB$26,12,FALSE))</f>
        <v>-0.55808999999999997</v>
      </c>
      <c r="Q63" s="1">
        <f>IF(Q$55&lt;=$C$5,0,HLOOKUP(Q$55,'Input data'!$C$9:$BB$26,12,FALSE)-HLOOKUP($C$5,'Input data'!$C$9:$BB$26,12,FALSE))</f>
        <v>-0.64233000000000118</v>
      </c>
      <c r="R63" s="1">
        <f>IF(R$55&lt;=$C$5,0,HLOOKUP(R$55,'Input data'!$C$9:$BB$26,12,FALSE)-HLOOKUP($C$5,'Input data'!$C$9:$BB$26,12,FALSE))</f>
        <v>-0.71977000000000046</v>
      </c>
      <c r="S63" s="1">
        <f>IF(S$55&lt;=$C$5,0,HLOOKUP(S$55,'Input data'!$C$9:$BB$26,12,FALSE)-HLOOKUP($C$5,'Input data'!$C$9:$BB$26,12,FALSE))</f>
        <v>-0.80197000000000074</v>
      </c>
      <c r="T63" s="1">
        <f>IF(T$55&lt;=$C$5,0,HLOOKUP(T$55,'Input data'!$C$9:$BB$26,12,FALSE)-HLOOKUP($C$5,'Input data'!$C$9:$BB$26,12,FALSE))</f>
        <v>-0.87632999999999939</v>
      </c>
      <c r="U63" s="1">
        <f>IF(U$55&lt;=$C$5,0,HLOOKUP(U$55,'Input data'!$C$9:$BB$26,12,FALSE)-HLOOKUP($C$5,'Input data'!$C$9:$BB$26,12,FALSE))</f>
        <v>-0.92502999999999957</v>
      </c>
      <c r="V63" s="1">
        <f>IF(V$55&lt;=$C$5,0,HLOOKUP(V$55,'Input data'!$C$9:$BB$26,12,FALSE)-HLOOKUP($C$5,'Input data'!$C$9:$BB$26,12,FALSE))</f>
        <v>-0.96204999999999785</v>
      </c>
      <c r="W63" s="1">
        <f>IF(W$55&lt;=$C$5,0,HLOOKUP(W$55,'Input data'!$C$9:$BB$26,12,FALSE)-HLOOKUP($C$5,'Input data'!$C$9:$BB$26,12,FALSE))</f>
        <v>-0.96204000000000178</v>
      </c>
    </row>
    <row r="64" spans="2:48" outlineLevel="1" x14ac:dyDescent="0.2">
      <c r="B64" s="63" t="s">
        <v>81</v>
      </c>
      <c r="C64" s="1"/>
      <c r="D64" s="1">
        <f>IF(D$55&lt;=$C$5,0,-HLOOKUP(D$55,'Input data'!$C$9:$BB$26,18,FALSE)+HLOOKUP($C$5,'Input data'!$C$9:$BB$26,18,FALSE))</f>
        <v>0</v>
      </c>
      <c r="E64" s="1">
        <f>IF(E$55&lt;=$C$5,0,-HLOOKUP(E$55,'Input data'!$C$9:$BB$26,18,FALSE)+HLOOKUP($C$5,'Input data'!$C$9:$BB$26,18,FALSE))</f>
        <v>0</v>
      </c>
      <c r="F64" s="1">
        <f>IF(F$55&lt;=$C$5,0,-HLOOKUP(F$55,'Input data'!$C$9:$BB$26,18,FALSE)+HLOOKUP($C$5,'Input data'!$C$9:$BB$26,18,FALSE))</f>
        <v>0</v>
      </c>
      <c r="G64" s="1">
        <f>IF(G$55&lt;=$C$5,0,-HLOOKUP(G$55,'Input data'!$C$9:$BB$26,18,FALSE)+HLOOKUP($C$5,'Input data'!$C$9:$BB$26,18,FALSE))</f>
        <v>7.6339999999999186E-3</v>
      </c>
      <c r="H64" s="1">
        <f>IF(H$55&lt;=$C$5,0,-HLOOKUP(H$55,'Input data'!$C$9:$BB$26,18,FALSE)+HLOOKUP($C$5,'Input data'!$C$9:$BB$26,18,FALSE))</f>
        <v>1.5268000000000059E-2</v>
      </c>
      <c r="I64" s="1">
        <f>IF(I$55&lt;=$C$5,0,-HLOOKUP(I$55,'Input data'!$C$9:$BB$26,18,FALSE)+HLOOKUP($C$5,'Input data'!$C$9:$BB$26,18,FALSE))</f>
        <v>2.290100000000006E-2</v>
      </c>
      <c r="J64" s="1">
        <f>IF(J$55&lt;=$C$5,0,-HLOOKUP(J$55,'Input data'!$C$9:$BB$26,18,FALSE)+HLOOKUP($C$5,'Input data'!$C$9:$BB$26,18,FALSE))</f>
        <v>3.0534999999999979E-2</v>
      </c>
      <c r="K64" s="1">
        <f>IF(K$55&lt;=$C$5,0,-HLOOKUP(K$55,'Input data'!$C$9:$BB$26,18,FALSE)+HLOOKUP($C$5,'Input data'!$C$9:$BB$26,18,FALSE))</f>
        <v>3.8168999999999897E-2</v>
      </c>
      <c r="L64" s="1">
        <f>IF(L$55&lt;=$C$5,0,-HLOOKUP(L$55,'Input data'!$C$9:$BB$26,18,FALSE)+HLOOKUP($C$5,'Input data'!$C$9:$BB$26,18,FALSE))</f>
        <v>4.5803000000000038E-2</v>
      </c>
      <c r="M64" s="1">
        <f>IF(M$55&lt;=$C$5,0,-HLOOKUP(M$55,'Input data'!$C$9:$BB$26,18,FALSE)+HLOOKUP($C$5,'Input data'!$C$9:$BB$26,18,FALSE))</f>
        <v>5.3436000000000039E-2</v>
      </c>
      <c r="N64" s="1">
        <f>IF(N$55&lt;=$C$5,0,-HLOOKUP(N$55,'Input data'!$C$9:$BB$26,18,FALSE)+HLOOKUP($C$5,'Input data'!$C$9:$BB$26,18,FALSE))</f>
        <v>6.1069999999999958E-2</v>
      </c>
      <c r="O64" s="1">
        <f>IF(O$55&lt;=$C$5,0,-HLOOKUP(O$55,'Input data'!$C$9:$BB$26,18,FALSE)+HLOOKUP($C$5,'Input data'!$C$9:$BB$26,18,FALSE))</f>
        <v>6.8704000000000098E-2</v>
      </c>
      <c r="P64" s="1">
        <f>IF(P$55&lt;=$C$5,0,-HLOOKUP(P$55,'Input data'!$C$9:$BB$26,18,FALSE)+HLOOKUP($C$5,'Input data'!$C$9:$BB$26,18,FALSE))</f>
        <v>7.6338000000000017E-2</v>
      </c>
      <c r="Q64" s="1">
        <f>IF(Q$55&lt;=$C$5,0,-HLOOKUP(Q$55,'Input data'!$C$9:$BB$26,18,FALSE)+HLOOKUP($C$5,'Input data'!$C$9:$BB$26,18,FALSE))</f>
        <v>8.3971000000000018E-2</v>
      </c>
      <c r="R64" s="1">
        <f>IF(R$55&lt;=$C$5,0,-HLOOKUP(R$55,'Input data'!$C$9:$BB$26,18,FALSE)+HLOOKUP($C$5,'Input data'!$C$9:$BB$26,18,FALSE))</f>
        <v>9.1604999999999936E-2</v>
      </c>
      <c r="S64" s="1">
        <f>IF(S$55&lt;=$C$5,0,-HLOOKUP(S$55,'Input data'!$C$9:$BB$26,18,FALSE)+HLOOKUP($C$5,'Input data'!$C$9:$BB$26,18,FALSE))</f>
        <v>9.9239000000000077E-2</v>
      </c>
      <c r="T64" s="1">
        <f>IF(T$55&lt;=$C$5,0,-HLOOKUP(T$55,'Input data'!$C$9:$BB$26,18,FALSE)+HLOOKUP($C$5,'Input data'!$C$9:$BB$26,18,FALSE))</f>
        <v>0.106873</v>
      </c>
      <c r="U64" s="1">
        <f>IF(U$55&lt;=$C$5,0,-HLOOKUP(U$55,'Input data'!$C$9:$BB$26,18,FALSE)+HLOOKUP($C$5,'Input data'!$C$9:$BB$26,18,FALSE))</f>
        <v>0.114506</v>
      </c>
      <c r="V64" s="1">
        <f>IF(V$55&lt;=$C$5,0,-HLOOKUP(V$55,'Input data'!$C$9:$BB$26,18,FALSE)+HLOOKUP($C$5,'Input data'!$C$9:$BB$26,18,FALSE))</f>
        <v>0.12213999999999992</v>
      </c>
      <c r="W64" s="1">
        <f>IF(W$55&lt;=$C$5,0,-HLOOKUP(W$55,'Input data'!$C$9:$BB$26,18,FALSE)+HLOOKUP($C$5,'Input data'!$C$9:$BB$26,18,FALSE))</f>
        <v>0.12977400000000006</v>
      </c>
    </row>
    <row r="65" spans="2:23" outlineLevel="1" x14ac:dyDescent="0.2">
      <c r="B65" s="63" t="s">
        <v>82</v>
      </c>
      <c r="C65" s="26"/>
      <c r="D65" s="26">
        <v>0</v>
      </c>
      <c r="E65" s="26">
        <v>0</v>
      </c>
      <c r="F65" s="26">
        <v>0</v>
      </c>
      <c r="G65" s="26">
        <v>0</v>
      </c>
      <c r="H65" s="26">
        <v>0</v>
      </c>
      <c r="I65" s="26">
        <v>0</v>
      </c>
      <c r="J65" s="26">
        <v>0</v>
      </c>
      <c r="K65" s="26">
        <v>0</v>
      </c>
      <c r="L65" s="26">
        <v>0</v>
      </c>
      <c r="M65" s="26">
        <v>0</v>
      </c>
      <c r="N65" s="26">
        <v>0</v>
      </c>
      <c r="O65" s="26">
        <v>0</v>
      </c>
      <c r="P65" s="26">
        <v>0</v>
      </c>
      <c r="Q65" s="26">
        <v>0</v>
      </c>
      <c r="R65" s="26">
        <v>0</v>
      </c>
      <c r="S65" s="26">
        <v>0</v>
      </c>
      <c r="T65" s="26">
        <v>0</v>
      </c>
      <c r="U65" s="26">
        <v>0</v>
      </c>
      <c r="V65" s="26">
        <v>0</v>
      </c>
      <c r="W65" s="26">
        <v>0</v>
      </c>
    </row>
    <row r="66" spans="2:23" outlineLevel="1" x14ac:dyDescent="0.2">
      <c r="B66" s="64" t="s">
        <v>83</v>
      </c>
      <c r="C66" s="34"/>
      <c r="D66" s="34">
        <f>SUM(D67:D70)</f>
        <v>-3.6847240000000001</v>
      </c>
      <c r="E66" s="34">
        <f t="shared" ref="E66:T66" si="23">SUM(E67:E70)</f>
        <v>-1.554413</v>
      </c>
      <c r="F66" s="34">
        <f t="shared" si="23"/>
        <v>-0.96644189999999996</v>
      </c>
      <c r="G66" s="34">
        <f>SUM(G67:G70)</f>
        <v>-0.60350979999999999</v>
      </c>
      <c r="H66" s="34">
        <f t="shared" si="23"/>
        <v>-0.71332965346071453</v>
      </c>
      <c r="I66" s="34">
        <f t="shared" si="23"/>
        <v>-0.51216538013165869</v>
      </c>
      <c r="J66" s="34">
        <f t="shared" si="23"/>
        <v>-0.39075487552018778</v>
      </c>
      <c r="K66" s="34">
        <f t="shared" si="23"/>
        <v>-0.33879005525128125</v>
      </c>
      <c r="L66" s="34">
        <f t="shared" si="23"/>
        <v>-0.29794391110180241</v>
      </c>
      <c r="M66" s="34">
        <f t="shared" si="23"/>
        <v>-0.20079158529942853</v>
      </c>
      <c r="N66" s="34">
        <f t="shared" si="23"/>
        <v>-0.11097607203410909</v>
      </c>
      <c r="O66" s="34">
        <f t="shared" si="23"/>
        <v>-1.1461682167194787E-2</v>
      </c>
      <c r="P66" s="34">
        <f t="shared" si="23"/>
        <v>6.7934993356885687E-2</v>
      </c>
      <c r="Q66" s="34">
        <f t="shared" si="23"/>
        <v>0.12085828794966536</v>
      </c>
      <c r="R66" s="34">
        <f t="shared" si="23"/>
        <v>0.16893926027317674</v>
      </c>
      <c r="S66" s="34">
        <f t="shared" si="23"/>
        <v>0.21254668541506727</v>
      </c>
      <c r="T66" s="34">
        <f t="shared" si="23"/>
        <v>0.28315917836554527</v>
      </c>
      <c r="U66" s="34">
        <f t="shared" ref="U66:W66" si="24">SUM(U67:U70)</f>
        <v>0.34819349217954854</v>
      </c>
      <c r="V66" s="34">
        <f t="shared" si="24"/>
        <v>0.40597625015148719</v>
      </c>
      <c r="W66" s="34">
        <f t="shared" si="24"/>
        <v>0.45949538583464755</v>
      </c>
    </row>
    <row r="67" spans="2:23" outlineLevel="1" x14ac:dyDescent="0.2">
      <c r="B67" s="63" t="s">
        <v>84</v>
      </c>
      <c r="C67" s="23"/>
      <c r="D67" s="23">
        <f t="shared" ref="D67:W67" si="25">C56*D35/100*(1/(1+D32/100))</f>
        <v>0.38643365390291995</v>
      </c>
      <c r="E67" s="23">
        <f t="shared" si="25"/>
        <v>0.49348790772771806</v>
      </c>
      <c r="F67" s="23">
        <f t="shared" si="25"/>
        <v>0.59226754090926192</v>
      </c>
      <c r="G67" s="23">
        <f>F56*G35/100*(1/(1+G32/100))</f>
        <v>0.58261301423249778</v>
      </c>
      <c r="H67" s="23">
        <f>G56*H35/100*(1/(1+H32/100))</f>
        <v>0.54903516025683419</v>
      </c>
      <c r="I67" s="23">
        <f t="shared" si="25"/>
        <v>0.6558366784529498</v>
      </c>
      <c r="J67" s="23">
        <f t="shared" si="25"/>
        <v>0.77174847971073157</v>
      </c>
      <c r="K67" s="23">
        <f t="shared" si="25"/>
        <v>0.88674366294768225</v>
      </c>
      <c r="L67" s="23">
        <f t="shared" si="25"/>
        <v>0.99959331496423187</v>
      </c>
      <c r="M67" s="23">
        <f t="shared" si="25"/>
        <v>1.1128015981181825</v>
      </c>
      <c r="N67" s="23">
        <f t="shared" si="25"/>
        <v>1.226867273177602</v>
      </c>
      <c r="O67" s="23">
        <f t="shared" si="25"/>
        <v>1.3427307546091165</v>
      </c>
      <c r="P67" s="23">
        <f t="shared" si="25"/>
        <v>1.45956072262668</v>
      </c>
      <c r="Q67" s="23">
        <f t="shared" si="25"/>
        <v>1.5687495059943655</v>
      </c>
      <c r="R67" s="23">
        <f t="shared" si="25"/>
        <v>1.6714717140839592</v>
      </c>
      <c r="S67" s="23">
        <f t="shared" si="25"/>
        <v>1.7681960859629617</v>
      </c>
      <c r="T67" s="23">
        <f t="shared" si="25"/>
        <v>1.8601787921499033</v>
      </c>
      <c r="U67" s="23">
        <f t="shared" si="25"/>
        <v>1.9478646374152477</v>
      </c>
      <c r="V67" s="23">
        <f t="shared" si="25"/>
        <v>2.0323856927971478</v>
      </c>
      <c r="W67" s="23">
        <f t="shared" si="25"/>
        <v>2.1143042913646024</v>
      </c>
    </row>
    <row r="68" spans="2:23" outlineLevel="1" x14ac:dyDescent="0.2">
      <c r="B68" s="63" t="s">
        <v>85</v>
      </c>
      <c r="C68" s="23"/>
      <c r="D68" s="23">
        <f t="shared" ref="D68:W68" si="26">-C56*(D23/100)*(1/(1+D32/100))</f>
        <v>-0.7982198457532661</v>
      </c>
      <c r="E68" s="23">
        <f t="shared" si="26"/>
        <v>-0.38555692979930867</v>
      </c>
      <c r="F68" s="23">
        <f t="shared" si="26"/>
        <v>-0.51428878253048549</v>
      </c>
      <c r="G68" s="23">
        <f t="shared" si="26"/>
        <v>-0.63121291138118063</v>
      </c>
      <c r="H68" s="23">
        <f t="shared" si="26"/>
        <v>-0.63771895017127134</v>
      </c>
      <c r="I68" s="23">
        <f t="shared" si="26"/>
        <v>-0.52018741595090934</v>
      </c>
      <c r="J68" s="23">
        <f t="shared" si="26"/>
        <v>-0.48357901400410125</v>
      </c>
      <c r="K68" s="23">
        <f t="shared" si="26"/>
        <v>-0.5156200062486157</v>
      </c>
      <c r="L68" s="23">
        <f t="shared" si="26"/>
        <v>-0.5593540201304219</v>
      </c>
      <c r="M68" s="23">
        <f t="shared" si="26"/>
        <v>-0.5499808069688964</v>
      </c>
      <c r="N68" s="23">
        <f t="shared" si="26"/>
        <v>-0.55007529150118617</v>
      </c>
      <c r="O68" s="23">
        <f t="shared" si="26"/>
        <v>-0.54364600316640643</v>
      </c>
      <c r="P68" s="23">
        <f t="shared" si="26"/>
        <v>-0.55965131524297429</v>
      </c>
      <c r="Q68" s="23">
        <f t="shared" si="26"/>
        <v>-0.58376683089926207</v>
      </c>
      <c r="R68" s="23">
        <f t="shared" si="26"/>
        <v>-0.60735635534118615</v>
      </c>
      <c r="S68" s="23">
        <f t="shared" si="26"/>
        <v>-0.63046421839158595</v>
      </c>
      <c r="T68" s="23">
        <f t="shared" si="26"/>
        <v>-0.62306325087814607</v>
      </c>
      <c r="U68" s="23">
        <f t="shared" si="26"/>
        <v>-0.61739529239103408</v>
      </c>
      <c r="V68" s="23">
        <f t="shared" si="26"/>
        <v>-0.61582711524537792</v>
      </c>
      <c r="W68" s="23">
        <f t="shared" si="26"/>
        <v>-0.6158489180353478</v>
      </c>
    </row>
    <row r="69" spans="2:23" outlineLevel="1" x14ac:dyDescent="0.2">
      <c r="B69" s="63" t="s">
        <v>86</v>
      </c>
      <c r="C69" s="23"/>
      <c r="D69" s="23">
        <f>-C56*D41/100*(1/(1+D41/100))</f>
        <v>-3.2731501975701005</v>
      </c>
      <c r="E69" s="23">
        <f t="shared" ref="E69:T69" si="27">-D56*E41/100*(1/(1+E41/100))</f>
        <v>-1.6622916483957075</v>
      </c>
      <c r="F69" s="23">
        <f>-E56*F41/100*(1/(1+F41/100))</f>
        <v>-1.0444070154428231</v>
      </c>
      <c r="G69" s="23">
        <f>-F56*G41/100*(1/(1+G41/100))</f>
        <v>-0.55491499730323357</v>
      </c>
      <c r="H69" s="23">
        <f t="shared" si="27"/>
        <v>-0.62464586354627738</v>
      </c>
      <c r="I69" s="23">
        <f t="shared" si="27"/>
        <v>-0.64781464263369914</v>
      </c>
      <c r="J69" s="23">
        <f t="shared" si="27"/>
        <v>-0.67892434122681811</v>
      </c>
      <c r="K69" s="23">
        <f t="shared" si="27"/>
        <v>-0.7099137119503478</v>
      </c>
      <c r="L69" s="23">
        <f t="shared" si="27"/>
        <v>-0.73818320593561237</v>
      </c>
      <c r="M69" s="23">
        <f t="shared" si="27"/>
        <v>-0.7636123764487146</v>
      </c>
      <c r="N69" s="23">
        <f t="shared" si="27"/>
        <v>-0.78776805371052494</v>
      </c>
      <c r="O69" s="23">
        <f t="shared" si="27"/>
        <v>-0.81054643360990486</v>
      </c>
      <c r="P69" s="23">
        <f t="shared" si="27"/>
        <v>-0.83197441402682004</v>
      </c>
      <c r="Q69" s="23">
        <f t="shared" si="27"/>
        <v>-0.86412438714543804</v>
      </c>
      <c r="R69" s="23">
        <f t="shared" si="27"/>
        <v>-0.89517609846959623</v>
      </c>
      <c r="S69" s="23">
        <f t="shared" si="27"/>
        <v>-0.92518518215630841</v>
      </c>
      <c r="T69" s="23">
        <f t="shared" si="27"/>
        <v>-0.95395636290621211</v>
      </c>
      <c r="U69" s="23">
        <f t="shared" ref="U69" si="28">-T56*U41/100*(1/(1+U41/100))</f>
        <v>-0.98227585284466501</v>
      </c>
      <c r="V69" s="23">
        <f t="shared" ref="V69" si="29">-U56*V41/100*(1/(1+V41/100))</f>
        <v>-1.0105823274002825</v>
      </c>
      <c r="W69" s="23">
        <f t="shared" ref="W69" si="30">-V56*W41/100*(1/(1+W41/100))</f>
        <v>-1.0389599874946069</v>
      </c>
    </row>
    <row r="70" spans="2:23" outlineLevel="1" x14ac:dyDescent="0.2">
      <c r="B70" s="63" t="s">
        <v>87</v>
      </c>
      <c r="C70" s="35"/>
      <c r="D70" s="35">
        <v>2.1238942044643494E-4</v>
      </c>
      <c r="E70" s="35">
        <v>-5.2329532701955728E-5</v>
      </c>
      <c r="F70" s="35">
        <v>-1.3642935953295243E-5</v>
      </c>
      <c r="G70" s="35">
        <v>5.0944519164319857E-6</v>
      </c>
      <c r="H70" s="35">
        <v>0</v>
      </c>
      <c r="I70" s="35">
        <v>0</v>
      </c>
      <c r="J70" s="35">
        <v>0</v>
      </c>
      <c r="K70" s="35">
        <v>0</v>
      </c>
      <c r="L70" s="35">
        <v>0</v>
      </c>
      <c r="M70" s="35">
        <v>0</v>
      </c>
      <c r="N70" s="35">
        <v>0</v>
      </c>
      <c r="O70" s="35">
        <v>0</v>
      </c>
      <c r="P70" s="35">
        <v>0</v>
      </c>
      <c r="Q70" s="35">
        <v>0</v>
      </c>
      <c r="R70" s="35">
        <v>0</v>
      </c>
      <c r="S70" s="35">
        <v>0</v>
      </c>
      <c r="T70" s="35">
        <v>0</v>
      </c>
      <c r="U70" s="35">
        <v>0</v>
      </c>
      <c r="V70" s="35">
        <v>0</v>
      </c>
      <c r="W70" s="35">
        <v>0</v>
      </c>
    </row>
    <row r="71" spans="2:23" outlineLevel="1" x14ac:dyDescent="0.2">
      <c r="B71" s="64" t="s">
        <v>88</v>
      </c>
      <c r="C71" s="36"/>
      <c r="D71" s="36">
        <f>'Input data'!D16</f>
        <v>-0.16636419999999999</v>
      </c>
      <c r="E71" s="36">
        <f>'Input data'!E16</f>
        <v>0.4477447</v>
      </c>
      <c r="F71" s="36">
        <f>'Input data'!F16</f>
        <v>0.53785850000000002</v>
      </c>
      <c r="G71" s="36">
        <f>'Input data'!G16</f>
        <v>-2.9595989999999999</v>
      </c>
      <c r="H71" s="36">
        <f>'Input data'!H16</f>
        <v>-0.14993790000000001</v>
      </c>
      <c r="I71" s="36">
        <f>'Input data'!I16</f>
        <v>0</v>
      </c>
      <c r="J71" s="36">
        <f>'Input data'!J16</f>
        <v>0</v>
      </c>
      <c r="K71" s="36">
        <f>'Input data'!K16</f>
        <v>0</v>
      </c>
      <c r="L71" s="36">
        <f>'Input data'!L16</f>
        <v>0</v>
      </c>
      <c r="M71" s="36">
        <f>'Input data'!M16</f>
        <v>0</v>
      </c>
      <c r="N71" s="36">
        <f>'Input data'!N16</f>
        <v>0</v>
      </c>
      <c r="O71" s="36">
        <f>'Input data'!O16</f>
        <v>0</v>
      </c>
      <c r="P71" s="36">
        <f>'Input data'!P16</f>
        <v>0</v>
      </c>
      <c r="Q71" s="36">
        <f>'Input data'!Q16</f>
        <v>0</v>
      </c>
      <c r="R71" s="36">
        <f>'Input data'!R16</f>
        <v>0</v>
      </c>
      <c r="S71" s="36">
        <f>'Input data'!S16</f>
        <v>0</v>
      </c>
      <c r="T71" s="36">
        <f>'Input data'!T16</f>
        <v>0</v>
      </c>
      <c r="U71" s="36">
        <f>'Input data'!U16</f>
        <v>0</v>
      </c>
      <c r="V71" s="36">
        <f>'Input data'!V16</f>
        <v>0</v>
      </c>
      <c r="W71" s="36">
        <f>'Input data'!W16</f>
        <v>0</v>
      </c>
    </row>
    <row r="72" spans="2:23" outlineLevel="1" x14ac:dyDescent="0.2">
      <c r="B72" s="63" t="s">
        <v>89</v>
      </c>
      <c r="C72" s="23"/>
      <c r="D72" s="23">
        <f t="shared" ref="D72:W72" si="31">D14</f>
        <v>-0.1772164</v>
      </c>
      <c r="E72" s="23">
        <f t="shared" si="31"/>
        <v>0.44991419999999999</v>
      </c>
      <c r="F72" s="23">
        <f t="shared" si="31"/>
        <v>0.53834850000000001</v>
      </c>
      <c r="G72" s="23">
        <f t="shared" si="31"/>
        <v>-2.9597929999999999</v>
      </c>
      <c r="H72" s="23">
        <f>H14</f>
        <v>-0.14993809999999999</v>
      </c>
      <c r="I72" s="23">
        <f t="shared" si="31"/>
        <v>0</v>
      </c>
      <c r="J72" s="23">
        <f t="shared" si="31"/>
        <v>0</v>
      </c>
      <c r="K72" s="23">
        <f t="shared" si="31"/>
        <v>0</v>
      </c>
      <c r="L72" s="23">
        <f t="shared" si="31"/>
        <v>0</v>
      </c>
      <c r="M72" s="23">
        <f t="shared" si="31"/>
        <v>0</v>
      </c>
      <c r="N72" s="23">
        <f t="shared" si="31"/>
        <v>0</v>
      </c>
      <c r="O72" s="23">
        <f t="shared" si="31"/>
        <v>0</v>
      </c>
      <c r="P72" s="23">
        <f t="shared" si="31"/>
        <v>0</v>
      </c>
      <c r="Q72" s="23">
        <f t="shared" si="31"/>
        <v>0</v>
      </c>
      <c r="R72" s="23">
        <f t="shared" si="31"/>
        <v>0</v>
      </c>
      <c r="S72" s="23">
        <f t="shared" si="31"/>
        <v>0</v>
      </c>
      <c r="T72" s="23">
        <f t="shared" si="31"/>
        <v>0</v>
      </c>
      <c r="U72" s="23">
        <f t="shared" si="31"/>
        <v>0</v>
      </c>
      <c r="V72" s="23">
        <f t="shared" si="31"/>
        <v>0</v>
      </c>
      <c r="W72" s="23">
        <f t="shared" si="31"/>
        <v>0</v>
      </c>
    </row>
    <row r="73" spans="2:23" outlineLevel="1" x14ac:dyDescent="0.2">
      <c r="B73" s="69" t="s">
        <v>90</v>
      </c>
      <c r="C73" s="35"/>
      <c r="D73" s="35">
        <f>+D71-D72</f>
        <v>1.0852200000000006E-2</v>
      </c>
      <c r="E73" s="35">
        <f t="shared" ref="E73:T73" si="32">+E71-E72</f>
        <v>-2.1694999999999909E-3</v>
      </c>
      <c r="F73" s="35">
        <f>+F71-F72</f>
        <v>-4.8999999999999044E-4</v>
      </c>
      <c r="G73" s="35">
        <f t="shared" si="32"/>
        <v>1.9400000000002748E-4</v>
      </c>
      <c r="H73" s="35">
        <f t="shared" si="32"/>
        <v>1.9999999997799556E-7</v>
      </c>
      <c r="I73" s="35">
        <f t="shared" si="32"/>
        <v>0</v>
      </c>
      <c r="J73" s="35">
        <f t="shared" si="32"/>
        <v>0</v>
      </c>
      <c r="K73" s="35">
        <f t="shared" si="32"/>
        <v>0</v>
      </c>
      <c r="L73" s="35">
        <f t="shared" si="32"/>
        <v>0</v>
      </c>
      <c r="M73" s="35">
        <f t="shared" si="32"/>
        <v>0</v>
      </c>
      <c r="N73" s="35">
        <f t="shared" si="32"/>
        <v>0</v>
      </c>
      <c r="O73" s="35">
        <f t="shared" si="32"/>
        <v>0</v>
      </c>
      <c r="P73" s="35">
        <f t="shared" si="32"/>
        <v>0</v>
      </c>
      <c r="Q73" s="35">
        <f t="shared" si="32"/>
        <v>0</v>
      </c>
      <c r="R73" s="35">
        <f t="shared" si="32"/>
        <v>0</v>
      </c>
      <c r="S73" s="35">
        <f t="shared" si="32"/>
        <v>0</v>
      </c>
      <c r="T73" s="35">
        <f t="shared" si="32"/>
        <v>0</v>
      </c>
      <c r="U73" s="35">
        <f t="shared" ref="U73:W73" si="33">+U71-U72</f>
        <v>0</v>
      </c>
      <c r="V73" s="35">
        <f t="shared" si="33"/>
        <v>0</v>
      </c>
      <c r="W73" s="35">
        <f t="shared" si="33"/>
        <v>0</v>
      </c>
    </row>
    <row r="74" spans="2:23" outlineLevel="1" x14ac:dyDescent="0.2">
      <c r="B74" s="63"/>
      <c r="C74" s="23"/>
      <c r="D74" s="23"/>
      <c r="E74" s="23"/>
      <c r="F74" s="23"/>
      <c r="G74" s="23"/>
      <c r="H74" s="23"/>
      <c r="I74" s="23"/>
      <c r="J74" s="23"/>
      <c r="K74" s="23"/>
      <c r="L74" s="23"/>
      <c r="M74" s="23"/>
      <c r="N74" s="23"/>
      <c r="O74" s="23"/>
      <c r="P74" s="23"/>
      <c r="Q74" s="23"/>
      <c r="R74" s="23"/>
      <c r="S74" s="23"/>
      <c r="T74" s="23"/>
      <c r="U74" s="23"/>
      <c r="V74" s="23"/>
      <c r="W74" s="23"/>
    </row>
    <row r="75" spans="2:23" ht="10.5" customHeight="1" outlineLevel="1" x14ac:dyDescent="0.2">
      <c r="B75" s="70" t="s">
        <v>91</v>
      </c>
    </row>
    <row r="76" spans="2:23" x14ac:dyDescent="0.2">
      <c r="B76" s="61" t="s">
        <v>19</v>
      </c>
      <c r="C76" s="61"/>
      <c r="D76" s="62">
        <f>D58-D67</f>
        <v>-2.8842977119318904</v>
      </c>
      <c r="E76" s="62">
        <f t="shared" ref="E76:T76" si="34">E58-E67</f>
        <v>-2.0024050348224529</v>
      </c>
      <c r="F76" s="62">
        <f t="shared" si="34"/>
        <v>-2.6315401809889596</v>
      </c>
      <c r="G76" s="62">
        <f t="shared" si="34"/>
        <v>-2.8787265127915358</v>
      </c>
      <c r="H76" s="62">
        <f t="shared" si="34"/>
        <v>-2.7206661355978365</v>
      </c>
      <c r="I76" s="62">
        <f t="shared" si="34"/>
        <v>-2.832767320510444</v>
      </c>
      <c r="J76" s="62">
        <f t="shared" si="34"/>
        <v>-2.8872802403292126</v>
      </c>
      <c r="K76" s="62">
        <f t="shared" si="34"/>
        <v>-2.9096959291830413</v>
      </c>
      <c r="L76" s="62">
        <f t="shared" si="34"/>
        <v>-2.9338104578794155</v>
      </c>
      <c r="M76" s="62">
        <f t="shared" si="34"/>
        <v>-2.9645611557867007</v>
      </c>
      <c r="N76" s="62">
        <f t="shared" si="34"/>
        <v>-3.0001111237409788</v>
      </c>
      <c r="O76" s="62">
        <f t="shared" si="34"/>
        <v>-3.0297680187732245</v>
      </c>
      <c r="P76" s="62">
        <f t="shared" si="34"/>
        <v>-3.0677425733691726</v>
      </c>
      <c r="Q76" s="62">
        <f t="shared" si="34"/>
        <v>-3.1003234768240695</v>
      </c>
      <c r="R76" s="62">
        <f t="shared" si="34"/>
        <v>-3.1332411515104033</v>
      </c>
      <c r="S76" s="62">
        <f t="shared" si="34"/>
        <v>-3.1553983500517537</v>
      </c>
      <c r="T76" s="62">
        <f t="shared" si="34"/>
        <v>-3.1806550562386935</v>
      </c>
      <c r="U76" s="62">
        <f t="shared" ref="U76:W76" si="35">U58-U67</f>
        <v>-3.2272733139795866</v>
      </c>
      <c r="V76" s="62">
        <f t="shared" si="35"/>
        <v>-3.2824077815151367</v>
      </c>
      <c r="W76" s="62">
        <f t="shared" si="35"/>
        <v>-3.3719692038213411</v>
      </c>
    </row>
    <row r="77" spans="2:23" x14ac:dyDescent="0.2">
      <c r="B77" s="15" t="s">
        <v>20</v>
      </c>
      <c r="D77" s="23">
        <f>D59-D67-D63-D64-D65</f>
        <v>-3.4027586539029202</v>
      </c>
      <c r="E77" s="23">
        <f>E59-E67-E63-E64-E65</f>
        <v>-2.2720589077277178</v>
      </c>
      <c r="F77" s="23">
        <f t="shared" ref="F77:W77" si="36">F59-F67-F63-F64-F65</f>
        <v>-2.6821975409092618</v>
      </c>
      <c r="G77" s="23">
        <f t="shared" si="36"/>
        <v>-2.9099370142324963</v>
      </c>
      <c r="H77" s="23">
        <f t="shared" si="36"/>
        <v>-2.8868231602568324</v>
      </c>
      <c r="I77" s="23">
        <f t="shared" si="36"/>
        <v>-2.9435376784529481</v>
      </c>
      <c r="J77" s="23">
        <f t="shared" si="36"/>
        <v>-2.9426634797107294</v>
      </c>
      <c r="K77" s="23">
        <f t="shared" si="36"/>
        <v>-2.90969266294768</v>
      </c>
      <c r="L77" s="23">
        <f t="shared" si="36"/>
        <v>-2.9338063149642295</v>
      </c>
      <c r="M77" s="23">
        <f t="shared" si="36"/>
        <v>-2.964557598118184</v>
      </c>
      <c r="N77" s="23">
        <f t="shared" si="36"/>
        <v>-3.0001072731776031</v>
      </c>
      <c r="O77" s="23">
        <f t="shared" si="36"/>
        <v>-3.029764754609114</v>
      </c>
      <c r="P77" s="23">
        <f t="shared" si="36"/>
        <v>-3.0677387226266797</v>
      </c>
      <c r="Q77" s="23">
        <f t="shared" si="36"/>
        <v>-3.1003205059943642</v>
      </c>
      <c r="R77" s="23">
        <f t="shared" si="36"/>
        <v>-3.1332367140839588</v>
      </c>
      <c r="S77" s="23">
        <f t="shared" si="36"/>
        <v>-3.1553950859629607</v>
      </c>
      <c r="T77" s="23">
        <f t="shared" si="36"/>
        <v>-3.180651792149904</v>
      </c>
      <c r="U77" s="23">
        <f t="shared" si="36"/>
        <v>-3.227270637415248</v>
      </c>
      <c r="V77" s="23">
        <f t="shared" si="36"/>
        <v>-3.2824056927971501</v>
      </c>
      <c r="W77" s="23">
        <f t="shared" si="36"/>
        <v>-3.3719682913646007</v>
      </c>
    </row>
    <row r="78" spans="2:23" x14ac:dyDescent="0.2">
      <c r="B78" s="24" t="s">
        <v>92</v>
      </c>
      <c r="C78" s="24"/>
      <c r="D78" s="238">
        <f>'Input data'!D45</f>
        <v>23.717846088438755</v>
      </c>
      <c r="E78" s="238">
        <f>'Input data'!E45</f>
        <v>5.7865656435119543</v>
      </c>
      <c r="F78" s="238">
        <f>'Input data'!F45</f>
        <v>7.9106854146593948</v>
      </c>
      <c r="G78" s="35">
        <f>'Input data'!G33+G41-(G$12-F$12)/'Input data'!$C$64*100</f>
        <v>5.0929280000000006</v>
      </c>
      <c r="H78" s="35">
        <f>'Input data'!H33+H41-(H$12-G$12)/'Input data'!$C$64*100</f>
        <v>5.2033659999999999</v>
      </c>
      <c r="I78" s="35">
        <f>'Input data'!I33+I41-(I$12-H$12)/'Input data'!$C$64*100</f>
        <v>5.1271511249999993</v>
      </c>
      <c r="J78" s="35">
        <f>'Input data'!J33+J41-(J$12-I$12)/'Input data'!$C$64*100</f>
        <v>4.7805672499999998</v>
      </c>
      <c r="K78" s="35">
        <f>'Input data'!K33+K41-(K$12-J$12)/'Input data'!$C$64*100</f>
        <v>4.7290293749999996</v>
      </c>
      <c r="L78" s="35">
        <f>'Input data'!L33+L41-(L$12-K$12)/'Input data'!$C$64*100</f>
        <v>4.5324004999999996</v>
      </c>
      <c r="M78" s="35">
        <f>'Input data'!M33+M41-(M$12-L$12)/'Input data'!$C$64*100</f>
        <v>4.3424536250000001</v>
      </c>
      <c r="N78" s="35">
        <f>'Input data'!N33+N41-(N$12-M$12)/'Input data'!$C$64*100</f>
        <v>4.1963597500000001</v>
      </c>
      <c r="O78" s="35">
        <f>'Input data'!O33+O41-(O$12-N$12)/'Input data'!$C$64*100</f>
        <v>4.0389098749999999</v>
      </c>
      <c r="P78" s="35">
        <f>'Input data'!P33+P41-(P$12-O$12)/'Input data'!$C$64*100</f>
        <v>3.9561869999999999</v>
      </c>
      <c r="Q78" s="35">
        <f>'Input data'!Q33+Q41-(Q$12-P$12)/'Input data'!$C$64*100</f>
        <v>3.933465</v>
      </c>
      <c r="R78" s="35">
        <f>'Input data'!R33+R41-(R$12-Q$12)/'Input data'!$C$64*100</f>
        <v>3.9107430000000001</v>
      </c>
      <c r="S78" s="35">
        <f>'Input data'!S33+S41-(S$12-R$12)/'Input data'!$C$64*100</f>
        <v>3.8880210000000002</v>
      </c>
      <c r="T78" s="35">
        <f>'Input data'!T33+T41-(T$12-S$12)/'Input data'!$C$64*100</f>
        <v>3.7916610000000004</v>
      </c>
      <c r="U78" s="35">
        <f>'Input data'!U33+U41-(U$12-T$12)/'Input data'!$C$64*100</f>
        <v>3.7050740000000002</v>
      </c>
      <c r="V78" s="35">
        <f>'Input data'!V33+V41-(V$12-U$12)/'Input data'!$C$64*100</f>
        <v>3.632028</v>
      </c>
      <c r="W78" s="35">
        <f>'Input data'!W33+W41-(W$12-V$12)/'Input data'!$C$64*100</f>
        <v>3.5655250000000001</v>
      </c>
    </row>
    <row r="79" spans="2:23" x14ac:dyDescent="0.2">
      <c r="D79" s="23"/>
      <c r="E79" s="23"/>
      <c r="F79" s="23"/>
      <c r="G79" s="23"/>
      <c r="H79" s="23"/>
      <c r="I79" s="23"/>
      <c r="J79" s="23"/>
      <c r="K79" s="23"/>
      <c r="L79" s="23"/>
      <c r="M79" s="23"/>
      <c r="N79" s="23"/>
      <c r="O79" s="23"/>
      <c r="P79" s="23"/>
      <c r="Q79" s="23"/>
      <c r="R79" s="23"/>
      <c r="S79" s="23"/>
      <c r="T79" s="23"/>
      <c r="U79" s="23"/>
      <c r="V79" s="23"/>
      <c r="W79" s="23"/>
    </row>
    <row r="80" spans="2:23" x14ac:dyDescent="0.2">
      <c r="D80" s="38"/>
    </row>
    <row r="81" spans="2:23" s="71" customFormat="1" ht="12.75" outlineLevel="1" x14ac:dyDescent="0.2">
      <c r="B81" s="72" t="s">
        <v>93</v>
      </c>
      <c r="C81" s="73"/>
      <c r="E81" s="74"/>
      <c r="F81" s="73"/>
    </row>
    <row r="82" spans="2:23" x14ac:dyDescent="0.2">
      <c r="C82" s="23"/>
      <c r="D82" s="23"/>
      <c r="E82" s="23"/>
      <c r="F82" s="23"/>
      <c r="G82" s="23"/>
      <c r="H82" s="23"/>
      <c r="I82" s="23"/>
      <c r="J82" s="23"/>
      <c r="K82" s="23"/>
      <c r="L82" s="23"/>
      <c r="M82" s="23"/>
      <c r="N82" s="23"/>
      <c r="O82" s="23"/>
      <c r="P82" s="23"/>
      <c r="Q82" s="23"/>
      <c r="R82" s="23"/>
      <c r="S82" s="23"/>
      <c r="T82" s="23"/>
      <c r="U82" s="23"/>
      <c r="V82" s="23"/>
      <c r="W82" s="23"/>
    </row>
    <row r="83" spans="2:23" x14ac:dyDescent="0.2">
      <c r="B83" s="15" t="s">
        <v>94</v>
      </c>
      <c r="D83" s="18"/>
      <c r="E83" s="18"/>
      <c r="F83" s="18">
        <f t="shared" ref="F83:W83" si="37">IF((F87-E87*F42/((1+F23/100)*(1+F41/100)))&gt;0,1,0)</f>
        <v>1</v>
      </c>
      <c r="G83" s="18">
        <f t="shared" si="37"/>
        <v>0</v>
      </c>
      <c r="H83" s="18">
        <f t="shared" si="37"/>
        <v>1</v>
      </c>
      <c r="I83" s="18">
        <f t="shared" si="37"/>
        <v>1</v>
      </c>
      <c r="J83" s="18">
        <f t="shared" si="37"/>
        <v>1</v>
      </c>
      <c r="K83" s="18">
        <f t="shared" si="37"/>
        <v>1</v>
      </c>
      <c r="L83" s="18">
        <f t="shared" si="37"/>
        <v>1</v>
      </c>
      <c r="M83" s="18">
        <f t="shared" si="37"/>
        <v>1</v>
      </c>
      <c r="N83" s="18">
        <f t="shared" si="37"/>
        <v>1</v>
      </c>
      <c r="O83" s="18">
        <f t="shared" si="37"/>
        <v>1</v>
      </c>
      <c r="P83" s="18">
        <f t="shared" si="37"/>
        <v>1</v>
      </c>
      <c r="Q83" s="18">
        <f t="shared" si="37"/>
        <v>1</v>
      </c>
      <c r="R83" s="18">
        <f t="shared" si="37"/>
        <v>1</v>
      </c>
      <c r="S83" s="18">
        <f t="shared" si="37"/>
        <v>1</v>
      </c>
      <c r="T83" s="18">
        <f t="shared" si="37"/>
        <v>1</v>
      </c>
      <c r="U83" s="18">
        <f t="shared" si="37"/>
        <v>1</v>
      </c>
      <c r="V83" s="18">
        <f t="shared" si="37"/>
        <v>1</v>
      </c>
      <c r="W83" s="18">
        <f t="shared" si="37"/>
        <v>1</v>
      </c>
    </row>
    <row r="84" spans="2:23" x14ac:dyDescent="0.2">
      <c r="B84" s="15" t="s">
        <v>95</v>
      </c>
      <c r="D84" s="18"/>
      <c r="E84" s="18"/>
      <c r="F84" s="18">
        <f t="shared" ref="F84:W84" si="38">IF(AND(F83=0,ABS(F87-E87*F42/((1+F23/100)*(1+F41/100)))&lt;((E93*E87*F42/((1+F23/100)*(1+F41/100))+(F38*E87*E94*F42/((1+F23/100)*(1+F41/100)))))),1,0)</f>
        <v>0</v>
      </c>
      <c r="G84" s="18">
        <f t="shared" si="38"/>
        <v>1</v>
      </c>
      <c r="H84" s="18">
        <f t="shared" si="38"/>
        <v>0</v>
      </c>
      <c r="I84" s="18">
        <f t="shared" si="38"/>
        <v>0</v>
      </c>
      <c r="J84" s="18">
        <f t="shared" si="38"/>
        <v>0</v>
      </c>
      <c r="K84" s="18">
        <f t="shared" si="38"/>
        <v>0</v>
      </c>
      <c r="L84" s="18">
        <f t="shared" si="38"/>
        <v>0</v>
      </c>
      <c r="M84" s="18">
        <f t="shared" si="38"/>
        <v>0</v>
      </c>
      <c r="N84" s="18">
        <f t="shared" si="38"/>
        <v>0</v>
      </c>
      <c r="O84" s="18">
        <f t="shared" si="38"/>
        <v>0</v>
      </c>
      <c r="P84" s="18">
        <f t="shared" si="38"/>
        <v>0</v>
      </c>
      <c r="Q84" s="18">
        <f t="shared" si="38"/>
        <v>0</v>
      </c>
      <c r="R84" s="18">
        <f t="shared" si="38"/>
        <v>0</v>
      </c>
      <c r="S84" s="18">
        <f t="shared" si="38"/>
        <v>0</v>
      </c>
      <c r="T84" s="18">
        <f t="shared" si="38"/>
        <v>0</v>
      </c>
      <c r="U84" s="18">
        <f t="shared" si="38"/>
        <v>0</v>
      </c>
      <c r="V84" s="18">
        <f t="shared" si="38"/>
        <v>0</v>
      </c>
      <c r="W84" s="18">
        <f t="shared" si="38"/>
        <v>0</v>
      </c>
    </row>
    <row r="86" spans="2:23" x14ac:dyDescent="0.2">
      <c r="B86" s="37"/>
      <c r="C86" s="66">
        <v>2021</v>
      </c>
      <c r="D86" s="66">
        <v>2022</v>
      </c>
      <c r="E86" s="66">
        <v>2023</v>
      </c>
      <c r="F86" s="66">
        <v>2024</v>
      </c>
      <c r="G86" s="66">
        <v>2025</v>
      </c>
      <c r="H86" s="66">
        <v>2026</v>
      </c>
      <c r="I86" s="66">
        <v>2027</v>
      </c>
      <c r="J86" s="66">
        <v>2028</v>
      </c>
      <c r="K86" s="66">
        <v>2029</v>
      </c>
      <c r="L86" s="66">
        <v>2030</v>
      </c>
      <c r="M86" s="66">
        <v>2031</v>
      </c>
      <c r="N86" s="66">
        <v>2032</v>
      </c>
      <c r="O86" s="66">
        <v>2033</v>
      </c>
      <c r="P86" s="66">
        <v>2034</v>
      </c>
      <c r="Q86" s="66">
        <v>2035</v>
      </c>
      <c r="R86" s="66">
        <v>2036</v>
      </c>
      <c r="S86" s="66">
        <v>2037</v>
      </c>
      <c r="T86" s="66">
        <v>2038</v>
      </c>
      <c r="U86" s="66">
        <v>2039</v>
      </c>
      <c r="V86" s="66">
        <v>2040</v>
      </c>
      <c r="W86" s="66">
        <v>2041</v>
      </c>
    </row>
    <row r="87" spans="2:23" x14ac:dyDescent="0.2">
      <c r="B87" s="83" t="s">
        <v>73</v>
      </c>
      <c r="C87" s="87">
        <f>C56</f>
        <v>23.835270000000001</v>
      </c>
      <c r="D87" s="87">
        <f>D56</f>
        <v>22.482045858028972</v>
      </c>
      <c r="E87" s="87">
        <f>E56</f>
        <v>22.884294685123706</v>
      </c>
      <c r="F87" s="87">
        <f>F56</f>
        <v>24.494983925203403</v>
      </c>
      <c r="G87" s="87">
        <f>G56</f>
        <v>23.227988623762442</v>
      </c>
      <c r="H87" s="87">
        <f>G87*(1+H101/100)*H42-H59-H60+H61+H62+H63+H64+H65+H72</f>
        <v>24.536351845642727</v>
      </c>
      <c r="I87" s="87">
        <f t="shared" ref="I87:W87" si="39">H87*(1+I101/100)*I42-I59-I60+I61+I62+I63+I64+I65+I72</f>
        <v>26.201117111743308</v>
      </c>
      <c r="J87" s="87">
        <f t="shared" si="39"/>
        <v>27.925893999762071</v>
      </c>
      <c r="K87" s="87">
        <f t="shared" si="39"/>
        <v>29.61005621308642</v>
      </c>
      <c r="L87" s="87">
        <f t="shared" si="39"/>
        <v>31.246329446817303</v>
      </c>
      <c r="M87" s="87">
        <f t="shared" si="39"/>
        <v>32.897297420398644</v>
      </c>
      <c r="N87" s="87">
        <f t="shared" si="39"/>
        <v>34.559565199560197</v>
      </c>
      <c r="O87" s="87">
        <f t="shared" si="39"/>
        <v>36.235140781619059</v>
      </c>
      <c r="P87" s="87">
        <f t="shared" si="39"/>
        <v>37.911257625368336</v>
      </c>
      <c r="Q87" s="87">
        <f t="shared" si="39"/>
        <v>39.563689883551262</v>
      </c>
      <c r="R87" s="87">
        <f t="shared" si="39"/>
        <v>41.194398580449459</v>
      </c>
      <c r="S87" s="87">
        <f t="shared" si="39"/>
        <v>42.794147528980787</v>
      </c>
      <c r="T87" s="87">
        <f t="shared" si="39"/>
        <v>44.397782970181503</v>
      </c>
      <c r="U87" s="87">
        <f t="shared" si="39"/>
        <v>46.025385137429694</v>
      </c>
      <c r="V87" s="87">
        <f t="shared" si="39"/>
        <v>47.681383474603734</v>
      </c>
      <c r="W87" s="87">
        <f t="shared" si="39"/>
        <v>49.398543771026503</v>
      </c>
    </row>
    <row r="88" spans="2:23" x14ac:dyDescent="0.2">
      <c r="B88" s="15" t="s">
        <v>96</v>
      </c>
      <c r="C88" s="23"/>
      <c r="D88" s="23"/>
      <c r="E88" s="180">
        <f>'Input data'!$C$66*E$87</f>
        <v>18.943053878229676</v>
      </c>
      <c r="F88" s="23">
        <f t="shared" ref="F88:W88" si="40">IF(F87=0,0,IF(F83=1,E87*F42/((1+F23/100)*(1+F41/100))-F89-F90,IF(AND(F83=0,F84=1),(1-E93-F38*E94)*E87*F42/((1+F23/100)*(1+F41/100)),F87)))</f>
        <v>19.606605386940984</v>
      </c>
      <c r="G88" s="23">
        <f t="shared" si="40"/>
        <v>21.480312234794081</v>
      </c>
      <c r="H88" s="23">
        <f t="shared" si="40"/>
        <v>20.294318393705431</v>
      </c>
      <c r="I88" s="23">
        <f t="shared" si="40"/>
        <v>21.641620349657927</v>
      </c>
      <c r="J88" s="23">
        <f t="shared" si="40"/>
        <v>23.243730267130015</v>
      </c>
      <c r="K88" s="23">
        <f t="shared" si="40"/>
        <v>24.84586367021727</v>
      </c>
      <c r="L88" s="23">
        <f t="shared" si="40"/>
        <v>26.409675123816058</v>
      </c>
      <c r="M88" s="23">
        <f t="shared" si="40"/>
        <v>27.988710584447894</v>
      </c>
      <c r="N88" s="23">
        <f t="shared" si="40"/>
        <v>29.581548308171328</v>
      </c>
      <c r="O88" s="23">
        <f t="shared" si="40"/>
        <v>31.200154583089216</v>
      </c>
      <c r="P88" s="23">
        <f t="shared" si="40"/>
        <v>32.819250161535521</v>
      </c>
      <c r="Q88" s="23">
        <f t="shared" si="40"/>
        <v>34.342906436306563</v>
      </c>
      <c r="R88" s="23">
        <f t="shared" si="40"/>
        <v>35.845840655415778</v>
      </c>
      <c r="S88" s="23">
        <f t="shared" si="40"/>
        <v>37.329802486790705</v>
      </c>
      <c r="T88" s="23">
        <f t="shared" si="40"/>
        <v>38.814557599784237</v>
      </c>
      <c r="U88" s="23">
        <f t="shared" si="40"/>
        <v>40.301811871624992</v>
      </c>
      <c r="V88" s="23">
        <f t="shared" si="40"/>
        <v>41.807818675059963</v>
      </c>
      <c r="W88" s="23">
        <f t="shared" si="40"/>
        <v>43.33902624546085</v>
      </c>
    </row>
    <row r="89" spans="2:23" x14ac:dyDescent="0.2">
      <c r="B89" s="82" t="s">
        <v>97</v>
      </c>
      <c r="C89" s="23"/>
      <c r="D89" s="23"/>
      <c r="E89" s="180">
        <f>'Input data'!$C$67*E$87</f>
        <v>1.4889803048403729</v>
      </c>
      <c r="F89" s="23">
        <f t="shared" ref="F89:W89" si="41">IF(F87=0,0,IF(F83=1,F38*E87*E94*F42/((1+F23/100)*(1+F41/100)),IF(AND(F83=0,F84=1),(F38*E87*E94*F42/((1+F23/100)*(1+F41/100)))*(1-ABS(F87-E87*F42/((1+F23/100)*(1+F41/100)))/((F38*E87*E94*F42/((1+F23/100)*(1+F41/100)))+(E93*E87*F42/((1+F23/100)*(1+F41/100))))),0)))</f>
        <v>1.7185051439948933</v>
      </c>
      <c r="G89" s="23">
        <f t="shared" si="41"/>
        <v>1.7421300599565488</v>
      </c>
      <c r="H89" s="23">
        <f t="shared" si="41"/>
        <v>1.6660605120744594</v>
      </c>
      <c r="I89" s="23">
        <f t="shared" si="41"/>
        <v>1.717023582582083</v>
      </c>
      <c r="J89" s="23">
        <f t="shared" si="41"/>
        <v>1.7803998426935095</v>
      </c>
      <c r="K89" s="23">
        <f t="shared" si="41"/>
        <v>1.835337243433923</v>
      </c>
      <c r="L89" s="23">
        <f t="shared" si="41"/>
        <v>1.8791711401570499</v>
      </c>
      <c r="M89" s="23">
        <f t="shared" si="41"/>
        <v>1.9159408045856998</v>
      </c>
      <c r="N89" s="23">
        <f t="shared" si="41"/>
        <v>1.9454911708556142</v>
      </c>
      <c r="O89" s="23">
        <f t="shared" si="41"/>
        <v>1.9685276932240465</v>
      </c>
      <c r="P89" s="23">
        <f t="shared" si="41"/>
        <v>1.9833781199761169</v>
      </c>
      <c r="Q89" s="23">
        <f t="shared" si="41"/>
        <v>2.0754578141455773</v>
      </c>
      <c r="R89" s="23">
        <f t="shared" si="41"/>
        <v>2.1662852045116816</v>
      </c>
      <c r="S89" s="23">
        <f t="shared" si="41"/>
        <v>2.2559660294160309</v>
      </c>
      <c r="T89" s="23">
        <f t="shared" si="41"/>
        <v>2.3456947950075562</v>
      </c>
      <c r="U89" s="23">
        <f t="shared" si="41"/>
        <v>2.4355745932080386</v>
      </c>
      <c r="V89" s="23">
        <f t="shared" si="41"/>
        <v>2.5265876702212622</v>
      </c>
      <c r="W89" s="23">
        <f t="shared" si="41"/>
        <v>2.619123714686844</v>
      </c>
    </row>
    <row r="90" spans="2:23" x14ac:dyDescent="0.2">
      <c r="B90" s="82" t="s">
        <v>98</v>
      </c>
      <c r="C90" s="23"/>
      <c r="D90" s="23"/>
      <c r="E90" s="180">
        <f>'Input data'!$C$68*$E$87</f>
        <v>0</v>
      </c>
      <c r="F90" s="23">
        <f t="shared" ref="F90:W90" si="42">IF(F87=0,0,IF(F83=1,(1-E94)*E87*F42/((1+F23/100)*(1+F41/100)),IF(AND(F83=0,F84=1),(E93*E87*F42/((1+F23/100)*(1+F41/100)))*(1-ABS(F87-E87*F42/((1+F23/100)*(1+F41/100)))/((F38*E87*E94*F42/((1+F23/100)*(1+F41/100)))+(E93*E87*F42/((1+F23/100)*(1+F41/100))))),0)))</f>
        <v>0</v>
      </c>
      <c r="G90" s="23">
        <f t="shared" si="42"/>
        <v>5.5463290118125431E-3</v>
      </c>
      <c r="H90" s="23">
        <f t="shared" si="42"/>
        <v>5.2449042650052277E-3</v>
      </c>
      <c r="I90" s="23">
        <f t="shared" si="42"/>
        <v>9.7058643386882613E-3</v>
      </c>
      <c r="J90" s="23">
        <f t="shared" si="42"/>
        <v>1.4483655377329815E-2</v>
      </c>
      <c r="K90" s="23">
        <f t="shared" si="42"/>
        <v>1.9159376377579366E-2</v>
      </c>
      <c r="L90" s="23">
        <f t="shared" si="42"/>
        <v>2.3672731397973854E-2</v>
      </c>
      <c r="M90" s="23">
        <f t="shared" si="42"/>
        <v>2.8084882296800954E-2</v>
      </c>
      <c r="N90" s="23">
        <f t="shared" si="42"/>
        <v>3.2414603782442965E-2</v>
      </c>
      <c r="O90" s="23">
        <f t="shared" si="42"/>
        <v>3.6690493790344725E-2</v>
      </c>
      <c r="P90" s="23">
        <f t="shared" si="42"/>
        <v>4.0886778009466676E-2</v>
      </c>
      <c r="Q90" s="23">
        <f t="shared" si="42"/>
        <v>4.5002164016780762E-2</v>
      </c>
      <c r="R90" s="23">
        <f t="shared" si="42"/>
        <v>4.9031576940920404E-2</v>
      </c>
      <c r="S90" s="23">
        <f t="shared" si="42"/>
        <v>5.2980670812835168E-2</v>
      </c>
      <c r="T90" s="23">
        <f t="shared" si="42"/>
        <v>5.6875527386521949E-2</v>
      </c>
      <c r="U90" s="23">
        <f t="shared" si="42"/>
        <v>6.0725366984311691E-2</v>
      </c>
      <c r="V90" s="23">
        <f t="shared" si="42"/>
        <v>6.4569356294981659E-2</v>
      </c>
      <c r="W90" s="23">
        <f t="shared" si="42"/>
        <v>6.8424615655700433E-2</v>
      </c>
    </row>
    <row r="91" spans="2:23" x14ac:dyDescent="0.2">
      <c r="B91" s="82" t="s">
        <v>99</v>
      </c>
      <c r="C91" s="23"/>
      <c r="D91" s="23"/>
      <c r="E91" s="180">
        <f>'Input data'!$C$69*E$87</f>
        <v>2.4522645020544749</v>
      </c>
      <c r="F91" s="23">
        <f>IF(F87=0,0,IF(F83=1,'Input data'!$C$58*(F87-E87*F42/((1+F23/100)*(1+F41/100))),0))</f>
        <v>3.1637745578569554</v>
      </c>
      <c r="G91" s="23">
        <f>IF(G87=0,0,IF(G83=1,'Input data'!$C$58*(G87-F87*G42/((1+G23/100)*(1+G41/100))),0))</f>
        <v>0</v>
      </c>
      <c r="H91" s="23">
        <f>IF(H87=0,0,IF(H83=1,'Input data'!$C$58*(H87-G87*H42/((1+H23/100)*(1+H41/100))),0))</f>
        <v>2.5657819548573411</v>
      </c>
      <c r="I91" s="23">
        <f>IF(I87=0,0,IF(I83=1,'Input data'!$C$58*(I87-H87*I42/((1+I23/100)*(1+I41/100))),0))</f>
        <v>2.8273170708502326</v>
      </c>
      <c r="J91" s="23">
        <f>IF(J87=0,0,IF(J83=1,'Input data'!$C$58*(J87-I87*J42/((1+J23/100)*(1+J41/100))),0))</f>
        <v>2.8817251073899213</v>
      </c>
      <c r="K91" s="23">
        <f>IF(K87=0,0,IF(K83=1,'Input data'!$C$58*(K87-J87*K42/((1+K23/100)*(1+K41/100))),0))</f>
        <v>2.9040976681016843</v>
      </c>
      <c r="L91" s="23">
        <f>IF(L87=0,0,IF(L83=1,'Input data'!$C$58*(L87-K87*L42/((1+L23/100)*(1+L41/100))),0))</f>
        <v>2.9281658001376409</v>
      </c>
      <c r="M91" s="23">
        <f>IF(M87=0,0,IF(M83=1,'Input data'!$C$58*(M87-L87*M42/((1+M23/100)*(1+M41/100))),0))</f>
        <v>2.9588573334174417</v>
      </c>
      <c r="N91" s="23">
        <f>IF(N87=0,0,IF(N83=1,'Input data'!$C$58*(N87-M87*N42/((1+N23/100)*(1+N41/100))),0))</f>
        <v>2.9943389029621836</v>
      </c>
      <c r="O91" s="23">
        <f>IF(O87=0,0,IF(O83=1,'Input data'!$C$58*(O87-N87*O42/((1+O23/100)*(1+O41/100))),0))</f>
        <v>3.023938737861295</v>
      </c>
      <c r="P91" s="23">
        <f>IF(P87=0,0,IF(P83=1,'Input data'!$C$58*(P87-O87*P42/((1+P23/100)*(1+P41/100))),0))</f>
        <v>3.0618402291505427</v>
      </c>
      <c r="Q91" s="23">
        <f>IF(Q87=0,0,IF(Q83=1,'Input data'!$C$58*(Q87-P87*Q42/((1+Q23/100)*(1+Q41/100))),0))</f>
        <v>3.094358446727826</v>
      </c>
      <c r="R91" s="23">
        <f>IF(R87=0,0,IF(R83=1,'Input data'!$C$58*(R87-Q87*R42/((1+R23/100)*(1+R41/100))),0))</f>
        <v>3.1272127876208309</v>
      </c>
      <c r="S91" s="23">
        <f>IF(S87=0,0,IF(S83=1,'Input data'!$C$58*(S87-R87*S42/((1+S23/100)*(1+S41/100))),0))</f>
        <v>3.1493273555512831</v>
      </c>
      <c r="T91" s="23">
        <f>IF(T87=0,0,IF(T83=1,'Input data'!$C$58*(T87-S87*T42/((1+T23/100)*(1+T41/100))),0))</f>
        <v>3.1745354676908306</v>
      </c>
      <c r="U91" s="23">
        <f>IF(U87=0,0,IF(U83=1,'Input data'!$C$58*(U87-T87*U42/((1+U23/100)*(1+U41/100))),0))</f>
        <v>3.2210640317723516</v>
      </c>
      <c r="V91" s="23">
        <f>IF(V87=0,0,IF(V83=1,'Input data'!$C$58*(V87-U87*V42/((1+V23/100)*(1+V41/100))),0))</f>
        <v>3.2760924204722239</v>
      </c>
      <c r="W91" s="23">
        <f>IF(W87=0,0,IF(W83=1,'Input data'!$C$58*(W87-V87*W42/((1+W23/100)*(1+W41/100))),0))</f>
        <v>3.3654815264914992</v>
      </c>
    </row>
    <row r="92" spans="2:23" x14ac:dyDescent="0.2">
      <c r="B92" s="84" t="s">
        <v>100</v>
      </c>
      <c r="C92" s="35"/>
      <c r="D92" s="35"/>
      <c r="E92" s="181">
        <f>'Input data'!$C$70*E$87</f>
        <v>0</v>
      </c>
      <c r="F92" s="35">
        <f>IF(F87=0,0,IF(F83=1,'Input data'!$C$57*(F87-E87*F42/((1+F23/100)*(1+F41/100))),0))</f>
        <v>6.0988364105707196E-3</v>
      </c>
      <c r="G92" s="35">
        <f>IF(G87=0,0,IF(G83=1,'Input data'!$C$57*(G87-F87*G42/((1+G23/100)*(1+G41/100))),0))</f>
        <v>0</v>
      </c>
      <c r="H92" s="35">
        <f>IF(H87=0,0,IF(H83=1,'Input data'!$C$57*(H87-G87*H42/((1+H23/100)*(1+H41/100))),0))</f>
        <v>4.9460807404902276E-3</v>
      </c>
      <c r="I92" s="35">
        <f>IF(I87=0,0,IF(I83=1,'Input data'!$C$57*(I87-H87*I42/((1+I23/100)*(1+I41/100))),0))</f>
        <v>5.4502443143767086E-3</v>
      </c>
      <c r="J92" s="35">
        <f>IF(J87=0,0,IF(J83=1,'Input data'!$C$57*(J87-I87*J42/((1+J23/100)*(1+J41/100))),0))</f>
        <v>5.5551271712957814E-3</v>
      </c>
      <c r="K92" s="35">
        <f>IF(K87=0,0,IF(K83=1,'Input data'!$C$57*(K87-J87*K42/((1+K23/100)*(1+K41/100))),0))</f>
        <v>5.5982549559629134E-3</v>
      </c>
      <c r="L92" s="35">
        <f>IF(L87=0,0,IF(L83=1,'Input data'!$C$57*(L87-K87*L42/((1+L23/100)*(1+L41/100))),0))</f>
        <v>5.6446513085825342E-3</v>
      </c>
      <c r="M92" s="35">
        <f>IF(M87=0,0,IF(M83=1,'Input data'!$C$57*(M87-L87*M42/((1+M23/100)*(1+M41/100))),0))</f>
        <v>5.7038156508073109E-3</v>
      </c>
      <c r="N92" s="35">
        <f>IF(N87=0,0,IF(N83=1,'Input data'!$C$57*(N87-M87*N42/((1+N23/100)*(1+N41/100))),0))</f>
        <v>5.7722137886285626E-3</v>
      </c>
      <c r="O92" s="35">
        <f>IF(O87=0,0,IF(O83=1,'Input data'!$C$57*(O87-N87*O42/((1+O23/100)*(1+O41/100))),0))</f>
        <v>5.8292736541557264E-3</v>
      </c>
      <c r="P92" s="35">
        <f>IF(P87=0,0,IF(P83=1,'Input data'!$C$57*(P87-O87*P42/((1+P23/100)*(1+P41/100))),0))</f>
        <v>5.9023366966900765E-3</v>
      </c>
      <c r="Q92" s="35">
        <f>IF(Q87=0,0,IF(Q83=1,'Input data'!$C$57*(Q87-P87*Q42/((1+Q23/100)*(1+Q41/100))),0))</f>
        <v>5.9650223545144225E-3</v>
      </c>
      <c r="R92" s="35">
        <f>IF(R87=0,0,IF(R83=1,'Input data'!$C$57*(R87-Q87*R42/((1+R23/100)*(1+R41/100))),0))</f>
        <v>6.0283559602500002E-3</v>
      </c>
      <c r="S92" s="35">
        <f>IF(S87=0,0,IF(S83=1,'Input data'!$C$57*(S87-R87*S42/((1+S23/100)*(1+S41/100))),0))</f>
        <v>6.0709864099333802E-3</v>
      </c>
      <c r="T92" s="35">
        <f>IF(T87=0,0,IF(T83=1,'Input data'!$C$57*(T87-S87*T42/((1+T23/100)*(1+T41/100))),0))</f>
        <v>6.1195803123581353E-3</v>
      </c>
      <c r="U92" s="35">
        <f>IF(U87=0,0,IF(U83=1,'Input data'!$C$57*(U87-T87*U42/((1+U23/100)*(1+U41/100))),0))</f>
        <v>6.2092738399981608E-3</v>
      </c>
      <c r="V92" s="35">
        <f>IF(V87=0,0,IF(V83=1,'Input data'!$C$57*(V87-U87*V42/((1+V23/100)*(1+V41/100))),0))</f>
        <v>6.3153525553049658E-3</v>
      </c>
      <c r="W92" s="35">
        <f>IF(W87=0,0,IF(W83=1,'Input data'!$C$57*(W87-V87*W42/((1+W23/100)*(1+W41/100))),0))</f>
        <v>6.4876687316092613E-3</v>
      </c>
    </row>
    <row r="93" spans="2:23" x14ac:dyDescent="0.2">
      <c r="B93" s="15" t="s">
        <v>51</v>
      </c>
      <c r="C93" s="25"/>
      <c r="D93" s="25"/>
      <c r="E93" s="25">
        <f>IF(E87&lt;&gt;0,(E90+E92)/(E88+E89+E90+E91+E92),0)</f>
        <v>0</v>
      </c>
      <c r="F93" s="25">
        <f t="shared" ref="F93" si="43">IF(F87&lt;&gt;0,(F90+F92)/(F88+F89+F90+F91+F92),0)</f>
        <v>2.4898307462433149E-4</v>
      </c>
      <c r="G93" s="25">
        <f>IF(G87&lt;&gt;0,(G90+G92)/(G88+G89+G90+G91+G92),0)</f>
        <v>2.3877784261262287E-4</v>
      </c>
      <c r="H93" s="25">
        <f>IF(H87&lt;&gt;0,(H90+H92)/(H88+H89+H90+H91+H92),0)</f>
        <v>4.1534230800106548E-4</v>
      </c>
      <c r="I93" s="25">
        <f t="shared" ref="I93:W93" si="44">IF(I87&lt;&gt;0,(I90+I92)/(I88+I89+I90+I91+I92),0)</f>
        <v>5.7845276552242965E-4</v>
      </c>
      <c r="J93" s="25">
        <f t="shared" si="44"/>
        <v>7.1756995671459344E-4</v>
      </c>
      <c r="K93" s="25">
        <f t="shared" si="44"/>
        <v>8.3612240231413103E-4</v>
      </c>
      <c r="L93" s="25">
        <f t="shared" si="44"/>
        <v>9.3826645323112049E-4</v>
      </c>
      <c r="M93" s="25">
        <f>IF(M87&lt;&gt;0,(M90+M92)/(M88+M89+M90+M91+M92),0)</f>
        <v>1.0270964667953813E-3</v>
      </c>
      <c r="N93" s="25">
        <f t="shared" si="44"/>
        <v>1.1049565395445859E-3</v>
      </c>
      <c r="O93" s="25">
        <f t="shared" si="44"/>
        <v>1.1734401061322601E-3</v>
      </c>
      <c r="P93" s="25">
        <f t="shared" si="44"/>
        <v>1.2341746920800588E-3</v>
      </c>
      <c r="Q93" s="25">
        <f t="shared" si="44"/>
        <v>1.2882313687451322E-3</v>
      </c>
      <c r="R93" s="25">
        <f t="shared" si="44"/>
        <v>1.3365878565660485E-3</v>
      </c>
      <c r="S93" s="25">
        <f t="shared" si="44"/>
        <v>1.3799003048904747E-3</v>
      </c>
      <c r="T93" s="25">
        <f t="shared" si="44"/>
        <v>1.4188795810184699E-3</v>
      </c>
      <c r="U93" s="25">
        <f t="shared" si="44"/>
        <v>1.4542983317672644E-3</v>
      </c>
      <c r="V93" s="25">
        <f t="shared" si="44"/>
        <v>1.4866328047725701E-3</v>
      </c>
      <c r="W93" s="25">
        <f t="shared" si="44"/>
        <v>1.5164877073005469E-3</v>
      </c>
    </row>
    <row r="94" spans="2:23" x14ac:dyDescent="0.2">
      <c r="B94" s="24" t="s">
        <v>52</v>
      </c>
      <c r="C94" s="85"/>
      <c r="D94" s="85"/>
      <c r="E94" s="85">
        <f t="shared" ref="E94:F94" si="45">IF(E87&lt;&gt;0,(E88+E89+E91)/(E88+E89+E90+E91+E92),1)</f>
        <v>1</v>
      </c>
      <c r="F94" s="85">
        <f t="shared" si="45"/>
        <v>0.99975101692537571</v>
      </c>
      <c r="G94" s="85">
        <f>IF(G87&lt;&gt;0,(G88+G89+G91)/(G88+G89+G90+G91+G92),1)</f>
        <v>0.99976122215738727</v>
      </c>
      <c r="H94" s="85">
        <f>IF(H87&lt;&gt;0,(H88+H89+H91)/(H88+H89+H90+H91+H92),1)</f>
        <v>0.99958465769199889</v>
      </c>
      <c r="I94" s="85">
        <f t="shared" ref="I94:W94" si="46">IF(I87&lt;&gt;0,(I88+I89+I91)/(I88+I89+I90+I91+I92),1)</f>
        <v>0.99942154723447751</v>
      </c>
      <c r="J94" s="85">
        <f t="shared" si="46"/>
        <v>0.99928243004328543</v>
      </c>
      <c r="K94" s="85">
        <f t="shared" si="46"/>
        <v>0.99916387759768588</v>
      </c>
      <c r="L94" s="85">
        <f t="shared" si="46"/>
        <v>0.99906173354676897</v>
      </c>
      <c r="M94" s="85">
        <f t="shared" si="46"/>
        <v>0.99897290353320467</v>
      </c>
      <c r="N94" s="85">
        <f t="shared" si="46"/>
        <v>0.99889504346045532</v>
      </c>
      <c r="O94" s="85">
        <f t="shared" si="46"/>
        <v>0.9988265598938677</v>
      </c>
      <c r="P94" s="85">
        <f t="shared" si="46"/>
        <v>0.99876582530791991</v>
      </c>
      <c r="Q94" s="85">
        <f t="shared" si="46"/>
        <v>0.99871176863125488</v>
      </c>
      <c r="R94" s="85">
        <f t="shared" si="46"/>
        <v>0.99866341214343402</v>
      </c>
      <c r="S94" s="85">
        <f t="shared" si="46"/>
        <v>0.99862009969510956</v>
      </c>
      <c r="T94" s="85">
        <f t="shared" si="46"/>
        <v>0.9985811204189815</v>
      </c>
      <c r="U94" s="85">
        <f t="shared" si="46"/>
        <v>0.99854570166823264</v>
      </c>
      <c r="V94" s="85">
        <f t="shared" si="46"/>
        <v>0.99851336719522743</v>
      </c>
      <c r="W94" s="85">
        <f t="shared" si="46"/>
        <v>0.99848351229269949</v>
      </c>
    </row>
    <row r="95" spans="2:23" x14ac:dyDescent="0.2">
      <c r="C95" s="25"/>
      <c r="D95" s="25"/>
      <c r="E95" s="179"/>
      <c r="F95" s="179"/>
      <c r="G95" s="179"/>
      <c r="H95" s="25"/>
      <c r="I95" s="25"/>
      <c r="J95" s="25"/>
      <c r="K95" s="25"/>
      <c r="L95" s="25"/>
      <c r="M95" s="25"/>
      <c r="N95" s="25"/>
      <c r="O95" s="25"/>
      <c r="P95" s="25"/>
      <c r="Q95" s="25"/>
      <c r="R95" s="25"/>
      <c r="S95" s="25"/>
      <c r="T95" s="25"/>
      <c r="U95" s="25"/>
      <c r="V95" s="25"/>
      <c r="W95" s="25"/>
    </row>
    <row r="96" spans="2:23" x14ac:dyDescent="0.2">
      <c r="B96" s="89" t="s">
        <v>101</v>
      </c>
      <c r="C96" s="91">
        <f>C35</f>
        <v>2.2892730000000001</v>
      </c>
      <c r="D96" s="91">
        <f>D35</f>
        <v>1.9552499999999999</v>
      </c>
      <c r="E96" s="91">
        <f>E35</f>
        <v>2.4150100000000001</v>
      </c>
      <c r="F96" s="91">
        <f>F98+F99</f>
        <v>2.7772610000000002</v>
      </c>
      <c r="G96" s="91">
        <f>G98+G99</f>
        <v>2.4995349999999998</v>
      </c>
      <c r="H96" s="91">
        <f>H98+H99</f>
        <v>2.49952</v>
      </c>
      <c r="I96" s="91">
        <f t="shared" ref="I96:W96" si="47">I98+I99</f>
        <v>2.8065168435775996</v>
      </c>
      <c r="J96" s="91">
        <f t="shared" si="47"/>
        <v>3.0822332305605915</v>
      </c>
      <c r="K96" s="91">
        <f t="shared" si="47"/>
        <v>3.3210924766189094</v>
      </c>
      <c r="L96" s="91">
        <f t="shared" si="47"/>
        <v>3.5305700234390045</v>
      </c>
      <c r="M96" s="91">
        <f t="shared" si="47"/>
        <v>3.7176741254543493</v>
      </c>
      <c r="N96" s="91">
        <f t="shared" si="47"/>
        <v>3.8874793682052871</v>
      </c>
      <c r="O96" s="91">
        <f t="shared" si="47"/>
        <v>4.0437153247689777</v>
      </c>
      <c r="P96" s="91">
        <f t="shared" si="47"/>
        <v>4.1889020456502255</v>
      </c>
      <c r="Q96" s="91">
        <f t="shared" si="47"/>
        <v>4.3022618384191613</v>
      </c>
      <c r="R96" s="91">
        <f t="shared" si="47"/>
        <v>4.3915419780049492</v>
      </c>
      <c r="S96" s="91">
        <f t="shared" si="47"/>
        <v>4.4607766746874473</v>
      </c>
      <c r="T96" s="91">
        <f t="shared" si="47"/>
        <v>4.5131208254650481</v>
      </c>
      <c r="U96" s="91">
        <f t="shared" si="47"/>
        <v>4.5512863667969636</v>
      </c>
      <c r="V96" s="91">
        <f t="shared" si="47"/>
        <v>4.5775508380419359</v>
      </c>
      <c r="W96" s="91">
        <f t="shared" si="47"/>
        <v>4.5936598633561481</v>
      </c>
    </row>
    <row r="97" spans="2:25" x14ac:dyDescent="0.2">
      <c r="B97" s="22" t="s">
        <v>102</v>
      </c>
      <c r="C97" s="1"/>
      <c r="D97" s="23"/>
      <c r="E97" s="23"/>
      <c r="F97" s="190">
        <f>((F35*E87)-(F37*(E90+E92)))/(E88+E89+E91)</f>
        <v>2.7772605145559659</v>
      </c>
      <c r="G97" s="190">
        <f>((G35*F87)-(G37*(F90+F92)))/(F88+F89+F91)</f>
        <v>2.4998019123239978</v>
      </c>
      <c r="H97" s="190">
        <f>((H35*G87)-(H37*(G90+G92)))/(G88+G89+G91)</f>
        <v>2.4997928038771331</v>
      </c>
      <c r="I97" s="23">
        <f t="shared" ref="I97:W97" si="48">IF(H87&gt;0,(H97*H88+I36*(H91+H89))/(H88+H89+H91),I36)</f>
        <v>2.8070461207686517</v>
      </c>
      <c r="J97" s="23">
        <f t="shared" si="48"/>
        <v>3.0830285218532127</v>
      </c>
      <c r="K97" s="23">
        <f t="shared" si="48"/>
        <v>3.3221247133534288</v>
      </c>
      <c r="L97" s="23">
        <f t="shared" si="48"/>
        <v>3.5318014272448539</v>
      </c>
      <c r="M97" s="23">
        <f t="shared" si="48"/>
        <v>3.719067059466949</v>
      </c>
      <c r="N97" s="23">
        <f t="shared" si="48"/>
        <v>3.8889985214474887</v>
      </c>
      <c r="O97" s="23">
        <f t="shared" si="48"/>
        <v>4.045328524880639</v>
      </c>
      <c r="P97" s="23">
        <f t="shared" si="48"/>
        <v>4.19057980661825</v>
      </c>
      <c r="Q97" s="23">
        <f t="shared" si="48"/>
        <v>4.3042136284641099</v>
      </c>
      <c r="R97" s="23">
        <f t="shared" si="48"/>
        <v>4.3937435958109985</v>
      </c>
      <c r="S97" s="23">
        <f t="shared" si="48"/>
        <v>4.4632046194349382</v>
      </c>
      <c r="T97" s="23">
        <f t="shared" si="48"/>
        <v>4.5157524505169766</v>
      </c>
      <c r="U97" s="23">
        <f t="shared" si="48"/>
        <v>4.5541007154610664</v>
      </c>
      <c r="V97" s="23">
        <f t="shared" si="48"/>
        <v>4.5805291962275207</v>
      </c>
      <c r="W97" s="23">
        <f t="shared" si="48"/>
        <v>4.5967851597068989</v>
      </c>
    </row>
    <row r="98" spans="2:25" x14ac:dyDescent="0.2">
      <c r="B98" s="15" t="s">
        <v>103</v>
      </c>
      <c r="C98" s="23"/>
      <c r="D98" s="23"/>
      <c r="E98" s="23"/>
      <c r="F98" s="190">
        <f>F35</f>
        <v>2.7772610000000002</v>
      </c>
      <c r="G98" s="190">
        <f>G35</f>
        <v>2.4995349999999998</v>
      </c>
      <c r="H98" s="190">
        <f>H35</f>
        <v>2.49952</v>
      </c>
      <c r="I98" s="23">
        <f t="shared" ref="I98:W98" si="49">(I97*(H88+H89+H91)+I37*(H90+H92))/H87</f>
        <v>2.8065168435775996</v>
      </c>
      <c r="J98" s="23">
        <f t="shared" si="49"/>
        <v>3.0822332305605915</v>
      </c>
      <c r="K98" s="23">
        <f t="shared" si="49"/>
        <v>3.3210924766189094</v>
      </c>
      <c r="L98" s="23">
        <f t="shared" si="49"/>
        <v>3.5305700234390045</v>
      </c>
      <c r="M98" s="23">
        <f t="shared" si="49"/>
        <v>3.7176741254543493</v>
      </c>
      <c r="N98" s="23">
        <f t="shared" si="49"/>
        <v>3.8874793682052871</v>
      </c>
      <c r="O98" s="23">
        <f t="shared" si="49"/>
        <v>4.0437153247689777</v>
      </c>
      <c r="P98" s="23">
        <f t="shared" si="49"/>
        <v>4.1889020456502255</v>
      </c>
      <c r="Q98" s="23">
        <f t="shared" si="49"/>
        <v>4.3022618384191613</v>
      </c>
      <c r="R98" s="23">
        <f t="shared" si="49"/>
        <v>4.3915419780049492</v>
      </c>
      <c r="S98" s="23">
        <f t="shared" si="49"/>
        <v>4.4607766746874473</v>
      </c>
      <c r="T98" s="23">
        <f t="shared" si="49"/>
        <v>4.5131208254650481</v>
      </c>
      <c r="U98" s="23">
        <f t="shared" si="49"/>
        <v>4.5512863667969636</v>
      </c>
      <c r="V98" s="23">
        <f t="shared" si="49"/>
        <v>4.5775508380419359</v>
      </c>
      <c r="W98" s="23">
        <f t="shared" si="49"/>
        <v>4.5936598633561481</v>
      </c>
    </row>
    <row r="99" spans="2:25" x14ac:dyDescent="0.2">
      <c r="B99" s="24" t="s">
        <v>104</v>
      </c>
      <c r="C99" s="90"/>
      <c r="D99" s="35"/>
      <c r="E99" s="35"/>
      <c r="F99" s="35">
        <f t="shared" ref="F99:G99" si="50">F108</f>
        <v>0</v>
      </c>
      <c r="G99" s="35">
        <f t="shared" si="50"/>
        <v>0</v>
      </c>
      <c r="H99" s="35">
        <f>H108</f>
        <v>0</v>
      </c>
      <c r="I99" s="35">
        <f t="shared" ref="I99:W99" si="51">I108</f>
        <v>0</v>
      </c>
      <c r="J99" s="35">
        <f t="shared" si="51"/>
        <v>0</v>
      </c>
      <c r="K99" s="35">
        <f t="shared" si="51"/>
        <v>0</v>
      </c>
      <c r="L99" s="35">
        <f t="shared" si="51"/>
        <v>0</v>
      </c>
      <c r="M99" s="35">
        <f t="shared" si="51"/>
        <v>0</v>
      </c>
      <c r="N99" s="35">
        <f t="shared" si="51"/>
        <v>0</v>
      </c>
      <c r="O99" s="35">
        <f t="shared" si="51"/>
        <v>0</v>
      </c>
      <c r="P99" s="35">
        <f t="shared" si="51"/>
        <v>0</v>
      </c>
      <c r="Q99" s="35">
        <f t="shared" si="51"/>
        <v>0</v>
      </c>
      <c r="R99" s="35">
        <f t="shared" si="51"/>
        <v>0</v>
      </c>
      <c r="S99" s="35">
        <f t="shared" si="51"/>
        <v>0</v>
      </c>
      <c r="T99" s="35">
        <f t="shared" si="51"/>
        <v>0</v>
      </c>
      <c r="U99" s="35">
        <f t="shared" si="51"/>
        <v>0</v>
      </c>
      <c r="V99" s="35">
        <f t="shared" si="51"/>
        <v>0</v>
      </c>
      <c r="W99" s="35">
        <f t="shared" si="51"/>
        <v>0</v>
      </c>
    </row>
    <row r="100" spans="2:25" x14ac:dyDescent="0.2">
      <c r="G100" s="75"/>
      <c r="H100" s="75"/>
      <c r="I100" s="75"/>
      <c r="J100" s="75"/>
      <c r="K100" s="75"/>
      <c r="L100" s="75"/>
      <c r="M100" s="75"/>
      <c r="N100" s="75"/>
      <c r="O100" s="75"/>
      <c r="P100" s="75"/>
      <c r="Q100" s="75"/>
      <c r="R100" s="75"/>
      <c r="S100" s="75"/>
      <c r="T100" s="75"/>
      <c r="U100" s="75"/>
      <c r="V100" s="75"/>
      <c r="W100" s="75"/>
    </row>
    <row r="101" spans="2:25" x14ac:dyDescent="0.2">
      <c r="B101" s="89" t="s">
        <v>133</v>
      </c>
      <c r="C101" s="91">
        <f t="shared" ref="C101:W101" si="52">((1+C96/100)/((1+C23/100)*(1+C41/100))-1)*100</f>
        <v>-11.276004958408825</v>
      </c>
      <c r="D101" s="91">
        <f t="shared" si="52"/>
        <v>-15.460015302618512</v>
      </c>
      <c r="E101" s="91">
        <f t="shared" si="52"/>
        <v>-6.9137865845611763</v>
      </c>
      <c r="F101" s="91">
        <f t="shared" si="52"/>
        <v>-4.2231070275995597</v>
      </c>
      <c r="G101" s="91">
        <f t="shared" si="52"/>
        <v>-2.4638305389167892</v>
      </c>
      <c r="H101" s="91">
        <f t="shared" si="52"/>
        <v>-3.0709919184779166</v>
      </c>
      <c r="I101" s="91">
        <f t="shared" si="52"/>
        <v>-2.0873737839224416</v>
      </c>
      <c r="J101" s="91">
        <f t="shared" si="52"/>
        <v>-1.4913672227531927</v>
      </c>
      <c r="K101" s="91">
        <f t="shared" si="52"/>
        <v>-1.2131753164782988</v>
      </c>
      <c r="L101" s="91">
        <f t="shared" si="52"/>
        <v>-1.0062254088278988</v>
      </c>
      <c r="M101" s="91">
        <f t="shared" si="52"/>
        <v>-0.6426085484022237</v>
      </c>
      <c r="N101" s="91">
        <f t="shared" si="52"/>
        <v>-0.33734099790523331</v>
      </c>
      <c r="O101" s="91">
        <f t="shared" si="52"/>
        <v>-3.3165006674884534E-2</v>
      </c>
      <c r="P101" s="91">
        <f t="shared" si="52"/>
        <v>0.18748372861638885</v>
      </c>
      <c r="Q101" s="91">
        <f t="shared" si="52"/>
        <v>0.31879260917040408</v>
      </c>
      <c r="R101" s="91">
        <f t="shared" si="52"/>
        <v>0.4270058226848672</v>
      </c>
      <c r="S101" s="91">
        <f t="shared" si="52"/>
        <v>0.51596015906738568</v>
      </c>
      <c r="T101" s="91">
        <f t="shared" si="52"/>
        <v>0.66167734015536439</v>
      </c>
      <c r="U101" s="91">
        <f t="shared" si="52"/>
        <v>0.78425873408523028</v>
      </c>
      <c r="V101" s="91">
        <f t="shared" si="52"/>
        <v>0.8820702906533473</v>
      </c>
      <c r="W101" s="91">
        <f t="shared" si="52"/>
        <v>0.96367879973693338</v>
      </c>
    </row>
    <row r="102" spans="2:25" x14ac:dyDescent="0.2">
      <c r="F102" s="23"/>
      <c r="G102" s="23"/>
      <c r="H102" s="23"/>
      <c r="I102" s="23"/>
      <c r="J102" s="23"/>
      <c r="K102" s="23"/>
      <c r="L102" s="23"/>
      <c r="M102" s="23"/>
      <c r="N102" s="23"/>
      <c r="O102" s="23"/>
      <c r="P102" s="23"/>
      <c r="Q102" s="23"/>
      <c r="R102" s="23"/>
      <c r="S102" s="23"/>
      <c r="T102" s="23"/>
      <c r="U102" s="23"/>
      <c r="V102" s="23"/>
      <c r="W102" s="23"/>
    </row>
    <row r="104" spans="2:25" s="71" customFormat="1" ht="12.75" x14ac:dyDescent="0.2">
      <c r="B104" s="14" t="s">
        <v>105</v>
      </c>
    </row>
    <row r="105" spans="2:25" s="86" customFormat="1" ht="12.75" x14ac:dyDescent="0.2">
      <c r="C105" s="80"/>
      <c r="D105" s="80"/>
      <c r="E105" s="80"/>
      <c r="F105" s="80"/>
      <c r="G105" s="80"/>
      <c r="H105" s="80"/>
      <c r="I105" s="80"/>
      <c r="J105" s="80"/>
      <c r="K105" s="80"/>
      <c r="L105" s="80"/>
      <c r="M105" s="80"/>
      <c r="N105" s="80"/>
      <c r="O105" s="80"/>
      <c r="P105" s="80"/>
      <c r="Q105" s="80"/>
      <c r="R105" s="80"/>
      <c r="S105" s="80"/>
      <c r="T105" s="80"/>
      <c r="U105" s="80"/>
      <c r="V105" s="80"/>
      <c r="W105" s="80"/>
    </row>
    <row r="106" spans="2:25" x14ac:dyDescent="0.2">
      <c r="B106" s="96" t="s">
        <v>21</v>
      </c>
      <c r="C106" s="23">
        <v>23.835270000000001</v>
      </c>
      <c r="D106" s="23">
        <v>22.482050000000001</v>
      </c>
      <c r="E106" s="23">
        <v>22.88429</v>
      </c>
      <c r="F106" s="23">
        <v>24.494980000000002</v>
      </c>
      <c r="G106" s="23">
        <v>23.227989999999998</v>
      </c>
      <c r="H106" s="23">
        <v>24.536359999999998</v>
      </c>
      <c r="I106" s="23">
        <v>26.20112</v>
      </c>
      <c r="J106" s="23">
        <v>27.925899999999999</v>
      </c>
      <c r="K106" s="23">
        <v>29.61007</v>
      </c>
      <c r="L106" s="23">
        <v>31.24634</v>
      </c>
      <c r="M106" s="23">
        <v>32.897309999999997</v>
      </c>
      <c r="N106" s="23">
        <v>34.55959</v>
      </c>
      <c r="O106" s="23">
        <v>36.235169999999997</v>
      </c>
      <c r="P106" s="23">
        <v>37.912089999999999</v>
      </c>
      <c r="Q106" s="23">
        <v>39.565249999999999</v>
      </c>
      <c r="R106" s="23">
        <v>41.196640000000002</v>
      </c>
      <c r="S106" s="23">
        <v>42.79701</v>
      </c>
      <c r="T106" s="23">
        <v>44.401229999999998</v>
      </c>
      <c r="U106" s="23">
        <v>46.029380000000003</v>
      </c>
      <c r="V106" s="23">
        <v>47.685870000000001</v>
      </c>
      <c r="W106" s="23">
        <v>49.403500000000001</v>
      </c>
    </row>
    <row r="107" spans="2:25" x14ac:dyDescent="0.2">
      <c r="B107" s="15" t="s">
        <v>101</v>
      </c>
      <c r="C107" s="23">
        <v>2.2892730000000001</v>
      </c>
      <c r="D107" s="23">
        <v>1.9552499999999999</v>
      </c>
      <c r="E107" s="23">
        <v>2.4150100000000001</v>
      </c>
      <c r="F107" s="23">
        <v>2.7772610000000002</v>
      </c>
      <c r="G107" s="23">
        <v>2.4995349999999998</v>
      </c>
      <c r="H107" s="23">
        <v>2.49952</v>
      </c>
      <c r="I107" s="23">
        <v>2.8065169999999999</v>
      </c>
      <c r="J107" s="23">
        <v>3.0822340000000001</v>
      </c>
      <c r="K107" s="23">
        <v>3.3210929999999999</v>
      </c>
      <c r="L107" s="23">
        <v>3.53057</v>
      </c>
      <c r="M107" s="23">
        <v>3.7176740000000001</v>
      </c>
      <c r="N107" s="23">
        <v>3.88748</v>
      </c>
      <c r="O107" s="23">
        <v>4.0437159999999999</v>
      </c>
      <c r="P107" s="23">
        <v>4.1911769999999997</v>
      </c>
      <c r="Q107" s="23">
        <v>4.3042490000000004</v>
      </c>
      <c r="R107" s="23">
        <v>4.3932799999999999</v>
      </c>
      <c r="S107" s="23">
        <v>4.4622979999999997</v>
      </c>
      <c r="T107" s="23">
        <v>4.5144539999999997</v>
      </c>
      <c r="U107" s="23">
        <v>4.5524560000000003</v>
      </c>
      <c r="V107" s="23">
        <v>4.5785780000000003</v>
      </c>
      <c r="W107" s="23">
        <v>4.594563</v>
      </c>
    </row>
    <row r="108" spans="2:25" x14ac:dyDescent="0.2">
      <c r="B108" s="15" t="s">
        <v>132</v>
      </c>
      <c r="C108" s="23"/>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2:25" x14ac:dyDescent="0.2">
      <c r="C109" s="94"/>
      <c r="D109" s="94"/>
      <c r="E109" s="94"/>
      <c r="F109" s="94"/>
      <c r="G109" s="94"/>
      <c r="H109" s="94"/>
      <c r="I109" s="94"/>
      <c r="J109" s="94"/>
      <c r="K109" s="94"/>
      <c r="L109" s="94"/>
      <c r="M109" s="94"/>
      <c r="N109" s="94"/>
      <c r="O109" s="94"/>
      <c r="P109" s="94"/>
      <c r="Q109" s="94"/>
      <c r="R109" s="94"/>
      <c r="S109" s="94"/>
      <c r="T109" s="94"/>
      <c r="U109" s="94"/>
      <c r="V109" s="94"/>
      <c r="W109" s="94"/>
    </row>
    <row r="110" spans="2:25" x14ac:dyDescent="0.2">
      <c r="B110" s="15" t="s">
        <v>65</v>
      </c>
      <c r="C110" s="20">
        <v>2021</v>
      </c>
      <c r="D110" s="20">
        <v>2022</v>
      </c>
      <c r="E110" s="20">
        <v>2023</v>
      </c>
      <c r="F110" s="20">
        <v>2024</v>
      </c>
      <c r="G110" s="20">
        <v>2025</v>
      </c>
      <c r="H110" s="20">
        <v>2026</v>
      </c>
      <c r="I110" s="20">
        <v>2027</v>
      </c>
      <c r="J110" s="20">
        <v>2028</v>
      </c>
      <c r="K110" s="20">
        <v>2029</v>
      </c>
      <c r="L110" s="20">
        <v>2030</v>
      </c>
      <c r="M110" s="20">
        <v>2031</v>
      </c>
      <c r="N110" s="20">
        <v>2032</v>
      </c>
      <c r="O110" s="20">
        <v>2033</v>
      </c>
      <c r="P110" s="20">
        <v>2034</v>
      </c>
      <c r="Q110" s="20">
        <v>2035</v>
      </c>
      <c r="R110" s="20">
        <v>2036</v>
      </c>
      <c r="S110" s="20">
        <v>2037</v>
      </c>
      <c r="T110" s="20">
        <v>2038</v>
      </c>
      <c r="U110" s="20">
        <v>2039</v>
      </c>
      <c r="V110" s="20">
        <v>2040</v>
      </c>
      <c r="W110" s="20">
        <v>2041</v>
      </c>
    </row>
    <row r="111" spans="2:25" x14ac:dyDescent="0.2">
      <c r="B111" s="15" t="s">
        <v>106</v>
      </c>
      <c r="C111" s="23">
        <v>3.8019160000000003E-2</v>
      </c>
      <c r="D111" s="23">
        <v>7.8597440000000005E-2</v>
      </c>
      <c r="E111" s="23">
        <v>5.9475470000000003E-2</v>
      </c>
      <c r="F111" s="23">
        <v>9.7054730000000006E-2</v>
      </c>
      <c r="G111" s="23">
        <v>0.11813094</v>
      </c>
      <c r="H111" s="23">
        <v>0.13979354999999999</v>
      </c>
      <c r="I111" s="23">
        <v>0.13858428</v>
      </c>
      <c r="J111" s="23">
        <v>0.14522678</v>
      </c>
      <c r="K111" s="23">
        <v>0.14229575999999999</v>
      </c>
      <c r="L111" s="23">
        <v>0.12855515000000001</v>
      </c>
      <c r="M111" s="23">
        <v>0.13228095000000001</v>
      </c>
      <c r="N111" s="23">
        <v>7.5216920000000007E-2</v>
      </c>
      <c r="O111" s="23">
        <v>7.4732339999999994E-2</v>
      </c>
      <c r="P111" s="23">
        <v>6.8740140000000005E-2</v>
      </c>
      <c r="Q111" s="23">
        <v>6.8088819999999994E-2</v>
      </c>
      <c r="R111" s="23">
        <v>6.7659349999999993E-2</v>
      </c>
      <c r="S111" s="23">
        <v>6.9181220000000002E-2</v>
      </c>
      <c r="T111" s="23">
        <v>6.6608810000000004E-2</v>
      </c>
      <c r="U111" s="23">
        <v>6.6408819999999993E-2</v>
      </c>
      <c r="V111" s="23">
        <v>6.6360269999999999E-2</v>
      </c>
      <c r="W111" s="23">
        <v>6.6178710000000002E-2</v>
      </c>
      <c r="X111" s="27"/>
    </row>
    <row r="112" spans="2:25" x14ac:dyDescent="0.2">
      <c r="B112" s="15" t="s">
        <v>107</v>
      </c>
      <c r="C112" s="23">
        <v>7.5301500000000002E-3</v>
      </c>
      <c r="D112" s="23">
        <v>5.3891019999999998E-2</v>
      </c>
      <c r="E112" s="23">
        <v>3.9845220000000001E-2</v>
      </c>
      <c r="F112" s="23">
        <v>3.7901619999999997E-2</v>
      </c>
      <c r="G112" s="23">
        <v>1.5524369999999999E-2</v>
      </c>
      <c r="H112" s="23">
        <v>2.9265309999999999E-2</v>
      </c>
      <c r="I112" s="23">
        <v>2.611486E-2</v>
      </c>
      <c r="J112" s="23">
        <v>3.7880869999999997E-2</v>
      </c>
      <c r="K112" s="23">
        <v>3.700117E-2</v>
      </c>
      <c r="L112" s="23">
        <v>4.4027610000000002E-2</v>
      </c>
      <c r="M112" s="23">
        <v>5.2113630000000001E-2</v>
      </c>
      <c r="N112" s="23">
        <v>5.0156979999999997E-2</v>
      </c>
      <c r="O112" s="23">
        <v>7.9968419999999998E-2</v>
      </c>
      <c r="P112" s="23">
        <v>6.4114809999999994E-2</v>
      </c>
      <c r="Q112" s="23">
        <v>6.8531330000000001E-2</v>
      </c>
      <c r="R112" s="23">
        <v>7.6302709999999996E-2</v>
      </c>
      <c r="S112" s="23">
        <v>8.8701379999999996E-2</v>
      </c>
      <c r="T112" s="23">
        <v>9.8649000000000001E-2</v>
      </c>
      <c r="U112" s="23">
        <v>8.6605989999999994E-2</v>
      </c>
      <c r="V112" s="23">
        <v>9.2847760000000001E-2</v>
      </c>
      <c r="W112" s="23">
        <v>9.7724469999999994E-2</v>
      </c>
      <c r="X112" s="23"/>
      <c r="Y112" s="75"/>
    </row>
    <row r="113" spans="2:24" x14ac:dyDescent="0.2">
      <c r="B113" s="15" t="s">
        <v>108</v>
      </c>
      <c r="C113" s="23">
        <v>1E-3</v>
      </c>
      <c r="D113" s="23">
        <v>7.5373060000000006E-2</v>
      </c>
      <c r="E113" s="23">
        <v>4.6882050000000001E-2</v>
      </c>
      <c r="F113" s="23">
        <v>5.4216720000000003E-2</v>
      </c>
      <c r="G113" s="23">
        <v>6.7915409999999996E-2</v>
      </c>
      <c r="H113" s="23">
        <v>7.3615710000000001E-2</v>
      </c>
      <c r="I113" s="23">
        <v>6.3481170000000003E-2</v>
      </c>
      <c r="J113" s="23">
        <v>7.1880079999999999E-2</v>
      </c>
      <c r="K113" s="23">
        <v>7.7918799999999996E-2</v>
      </c>
      <c r="L113" s="23">
        <v>7.3351369999999999E-2</v>
      </c>
      <c r="M113" s="23">
        <v>9.3825160000000005E-2</v>
      </c>
      <c r="N113" s="23">
        <v>9.9157609999999993E-2</v>
      </c>
      <c r="O113" s="23">
        <v>0.10572949</v>
      </c>
      <c r="P113" s="23">
        <v>7.9050330000000002E-2</v>
      </c>
      <c r="Q113" s="23">
        <v>8.4228540000000005E-2</v>
      </c>
      <c r="R113" s="23">
        <v>7.3141579999999998E-2</v>
      </c>
      <c r="S113" s="23">
        <v>7.3569389999999998E-2</v>
      </c>
      <c r="T113" s="23">
        <v>7.406277E-2</v>
      </c>
      <c r="U113" s="23">
        <v>7.4590160000000003E-2</v>
      </c>
      <c r="V113" s="23">
        <v>7.5127540000000007E-2</v>
      </c>
      <c r="W113" s="23">
        <v>7.5892799999999996E-2</v>
      </c>
      <c r="X113" s="27"/>
    </row>
    <row r="114" spans="2:24" x14ac:dyDescent="0.2">
      <c r="B114" s="15" t="s">
        <v>109</v>
      </c>
      <c r="C114" s="23">
        <v>8.3818409999999996E-2</v>
      </c>
      <c r="D114" s="23">
        <v>6.9391629999999996E-2</v>
      </c>
      <c r="E114" s="23">
        <v>5.3238099999999997E-2</v>
      </c>
      <c r="F114" s="23">
        <v>4.9193250000000001E-2</v>
      </c>
      <c r="G114" s="23">
        <v>5.6546760000000001E-2</v>
      </c>
      <c r="H114" s="23">
        <v>6.3458280000000006E-2</v>
      </c>
      <c r="I114" s="23">
        <v>6.4334080000000002E-2</v>
      </c>
      <c r="J114" s="23">
        <v>6.3340759999999996E-2</v>
      </c>
      <c r="K114" s="23">
        <v>6.1144089999999998E-2</v>
      </c>
      <c r="L114" s="23">
        <v>5.3902770000000003E-2</v>
      </c>
      <c r="M114" s="23">
        <v>9.3255089999999999E-2</v>
      </c>
      <c r="N114" s="23">
        <v>7.2850020000000001E-2</v>
      </c>
      <c r="O114" s="23">
        <v>7.4534169999999997E-2</v>
      </c>
      <c r="P114" s="23">
        <v>6.1436480000000002E-2</v>
      </c>
      <c r="Q114" s="23">
        <v>8.2422819999999994E-2</v>
      </c>
      <c r="R114" s="23">
        <v>8.5317599999999993E-2</v>
      </c>
      <c r="S114" s="23">
        <v>6.0394759999999999E-2</v>
      </c>
      <c r="T114" s="23">
        <v>7.3690290000000006E-2</v>
      </c>
      <c r="U114" s="23">
        <v>5.733009E-2</v>
      </c>
      <c r="V114" s="23">
        <v>6.1014230000000003E-2</v>
      </c>
      <c r="W114" s="23">
        <v>5.730975E-2</v>
      </c>
      <c r="X114" s="27"/>
    </row>
    <row r="115" spans="2:24" x14ac:dyDescent="0.2">
      <c r="C115" s="27"/>
      <c r="D115" s="27"/>
      <c r="E115" s="23"/>
      <c r="F115" s="23"/>
      <c r="G115" s="27"/>
      <c r="H115" s="94"/>
      <c r="I115" s="94"/>
      <c r="J115" s="94"/>
      <c r="K115" s="94"/>
      <c r="L115" s="94"/>
      <c r="M115" s="94"/>
      <c r="N115" s="94"/>
      <c r="O115" s="94"/>
      <c r="P115" s="94"/>
      <c r="Q115" s="94"/>
      <c r="R115" s="94"/>
      <c r="S115" s="94"/>
      <c r="T115" s="94"/>
      <c r="U115" s="94"/>
      <c r="V115" s="94"/>
      <c r="W115" s="94"/>
      <c r="X115" s="27"/>
    </row>
    <row r="116" spans="2:24" x14ac:dyDescent="0.2">
      <c r="E116" s="23"/>
      <c r="F116" s="23"/>
      <c r="G116" s="97"/>
      <c r="H116" s="97"/>
      <c r="I116" s="97"/>
      <c r="J116" s="97"/>
      <c r="K116" s="97"/>
      <c r="L116" s="97"/>
      <c r="M116" s="97"/>
      <c r="N116" s="97"/>
      <c r="O116" s="97"/>
      <c r="P116" s="97"/>
      <c r="Q116" s="97"/>
      <c r="R116" s="97"/>
      <c r="S116" s="97"/>
      <c r="T116" s="97"/>
      <c r="U116" s="97"/>
      <c r="V116" s="97"/>
      <c r="W116" s="97"/>
    </row>
    <row r="117" spans="2:24" x14ac:dyDescent="0.2">
      <c r="D117" s="184"/>
      <c r="E117" s="184"/>
      <c r="F117" s="184"/>
      <c r="G117" s="184"/>
    </row>
    <row r="118" spans="2:24" x14ac:dyDescent="0.2">
      <c r="D118" s="184"/>
      <c r="E118" s="184"/>
      <c r="F118" s="184"/>
      <c r="G118" s="184"/>
      <c r="H118" s="184"/>
      <c r="I118" s="184"/>
      <c r="J118" s="184"/>
      <c r="K118" s="184"/>
      <c r="L118" s="184"/>
      <c r="M118" s="184"/>
      <c r="N118" s="184"/>
      <c r="O118" s="184"/>
      <c r="P118" s="184"/>
      <c r="Q118" s="184"/>
      <c r="R118" s="184"/>
      <c r="S118" s="184"/>
      <c r="T118" s="184"/>
      <c r="U118" s="97"/>
      <c r="V118" s="97"/>
      <c r="W118" s="97"/>
    </row>
    <row r="119" spans="2:24" x14ac:dyDescent="0.2">
      <c r="E119" s="23"/>
      <c r="F119" s="23"/>
      <c r="G119" s="97"/>
      <c r="H119" s="97"/>
      <c r="I119" s="97"/>
      <c r="J119" s="97"/>
      <c r="K119" s="97"/>
      <c r="L119" s="97"/>
      <c r="M119" s="97"/>
      <c r="N119" s="97"/>
      <c r="O119" s="97"/>
      <c r="P119" s="97"/>
      <c r="Q119" s="97"/>
      <c r="R119" s="97"/>
      <c r="S119" s="97"/>
      <c r="T119" s="97"/>
      <c r="U119" s="97"/>
      <c r="V119" s="97"/>
      <c r="W119" s="97"/>
      <c r="X119" s="97"/>
    </row>
    <row r="120" spans="2:24" x14ac:dyDescent="0.2">
      <c r="G120" s="97"/>
      <c r="H120" s="97"/>
      <c r="I120" s="97"/>
      <c r="J120" s="97"/>
      <c r="K120" s="97"/>
      <c r="L120" s="97"/>
      <c r="M120" s="97"/>
      <c r="N120" s="97"/>
      <c r="O120" s="97"/>
      <c r="P120" s="97"/>
      <c r="Q120" s="97"/>
      <c r="R120" s="97"/>
      <c r="S120" s="97"/>
      <c r="T120" s="97"/>
      <c r="U120" s="97"/>
      <c r="V120" s="97"/>
      <c r="W120" s="97"/>
      <c r="X120" s="97"/>
    </row>
    <row r="121" spans="2:24" x14ac:dyDescent="0.2">
      <c r="E121" s="23"/>
      <c r="F121" s="75"/>
      <c r="G121" s="75"/>
      <c r="H121" s="75"/>
      <c r="I121" s="75"/>
      <c r="J121" s="75"/>
      <c r="K121" s="75"/>
      <c r="L121" s="75"/>
      <c r="M121" s="75"/>
      <c r="N121" s="75"/>
      <c r="O121" s="75"/>
      <c r="P121" s="75"/>
      <c r="Q121" s="75"/>
      <c r="R121" s="75"/>
      <c r="S121" s="75"/>
      <c r="T121" s="75"/>
      <c r="U121" s="75"/>
      <c r="V121" s="75"/>
      <c r="W121" s="75"/>
      <c r="X121" s="97"/>
    </row>
    <row r="122" spans="2:24" x14ac:dyDescent="0.2">
      <c r="E122" s="23"/>
      <c r="F122" s="23"/>
      <c r="G122" s="97"/>
      <c r="H122" s="97"/>
      <c r="I122" s="97"/>
      <c r="J122" s="97"/>
      <c r="K122" s="97"/>
      <c r="L122" s="97"/>
      <c r="M122" s="97"/>
      <c r="N122" s="97"/>
      <c r="O122" s="97"/>
      <c r="P122" s="97"/>
      <c r="Q122" s="97"/>
      <c r="R122" s="97"/>
      <c r="S122" s="97"/>
      <c r="T122" s="97"/>
      <c r="U122" s="97"/>
      <c r="V122" s="97"/>
      <c r="W122" s="97"/>
      <c r="X122" s="97"/>
    </row>
    <row r="123" spans="2:24" x14ac:dyDescent="0.2">
      <c r="G123" s="97"/>
      <c r="H123" s="97"/>
      <c r="I123" s="97"/>
      <c r="J123" s="97"/>
      <c r="K123" s="97"/>
      <c r="L123" s="97"/>
      <c r="M123" s="97"/>
      <c r="N123" s="97"/>
      <c r="O123" s="97"/>
      <c r="P123" s="97"/>
      <c r="Q123" s="97"/>
      <c r="R123" s="97"/>
      <c r="S123" s="97"/>
      <c r="T123" s="97"/>
      <c r="U123" s="97"/>
      <c r="V123" s="97"/>
      <c r="W123" s="97"/>
      <c r="X123" s="97"/>
    </row>
  </sheetData>
  <conditionalFormatting sqref="U10:W43 U45:W52 U54:W80 U82:W103 U105:W130">
    <cfRule type="expression" dxfId="9" priority="1">
      <formula>U$10&gt;($C$6+10)</formula>
    </cfRule>
  </conditionalFormatting>
  <pageMargins left="0.7" right="0.7" top="0.75" bottom="0.75" header="0.3" footer="0.3"/>
  <pageSetup paperSize="9" orientation="portrait" r:id="rId1"/>
  <ignoredErrors>
    <ignoredError sqref="C5 C46:C47" unlockedFormula="1"/>
    <ignoredError sqref="V35:W35 V56:W57 V66:W69 V76:W77 V97:W98 U84:U86 V83:W86 V100:W100 U88:U94 V88:W96"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C000"/>
  </sheetPr>
  <dimension ref="A1:AY126"/>
  <sheetViews>
    <sheetView zoomScaleNormal="100" workbookViewId="0"/>
  </sheetViews>
  <sheetFormatPr defaultColWidth="9.28515625" defaultRowHeight="11.25" outlineLevelRow="1" x14ac:dyDescent="0.2"/>
  <cols>
    <col min="1" max="1" width="9.28515625" style="15" customWidth="1"/>
    <col min="2" max="2" width="57.42578125" style="15" customWidth="1"/>
    <col min="3" max="38" width="9.28515625" style="15" customWidth="1"/>
    <col min="39" max="48" width="11.42578125" style="15" bestFit="1" customWidth="1"/>
    <col min="49" max="16384" width="9.28515625" style="15"/>
  </cols>
  <sheetData>
    <row r="1" spans="1:51" ht="24.75" customHeight="1" x14ac:dyDescent="0.2">
      <c r="B1" s="28"/>
    </row>
    <row r="2" spans="1:51" ht="11.25" customHeight="1" x14ac:dyDescent="0.2">
      <c r="B2" s="16"/>
    </row>
    <row r="3" spans="1:51" ht="11.25" customHeight="1" x14ac:dyDescent="0.2">
      <c r="B3" s="8" t="s">
        <v>11</v>
      </c>
      <c r="C3" s="9" t="str">
        <f>'Input data'!C3</f>
        <v>BG</v>
      </c>
    </row>
    <row r="4" spans="1:51" x14ac:dyDescent="0.2">
      <c r="B4" s="49" t="s">
        <v>16</v>
      </c>
      <c r="C4" s="10"/>
    </row>
    <row r="5" spans="1:51" x14ac:dyDescent="0.2">
      <c r="A5" s="18"/>
      <c r="B5" s="11" t="str">
        <f>'Input data'!B5</f>
        <v>Last year before the adjustment</v>
      </c>
      <c r="C5" s="12">
        <f>+'Input data'!C5</f>
        <v>2024</v>
      </c>
      <c r="J5" s="38"/>
      <c r="M5" s="27"/>
    </row>
    <row r="6" spans="1:51" x14ac:dyDescent="0.2">
      <c r="A6" s="18"/>
      <c r="B6" s="50" t="s">
        <v>22</v>
      </c>
      <c r="C6" s="12">
        <f>+C5+'Criteria results'!$F$5</f>
        <v>2028</v>
      </c>
      <c r="E6" s="30"/>
      <c r="F6" s="18"/>
    </row>
    <row r="7" spans="1:51" x14ac:dyDescent="0.2">
      <c r="A7" s="18"/>
      <c r="B7" s="13" t="s">
        <v>17</v>
      </c>
      <c r="C7" s="51">
        <f>C5+'Criteria results'!$F$5+10</f>
        <v>2038</v>
      </c>
      <c r="E7" s="30"/>
      <c r="F7" s="18"/>
      <c r="G7" s="38"/>
      <c r="H7" s="38"/>
      <c r="I7" s="38"/>
      <c r="J7" s="38"/>
      <c r="K7" s="38"/>
      <c r="L7" s="38"/>
      <c r="M7" s="38"/>
    </row>
    <row r="8" spans="1:51" x14ac:dyDescent="0.2">
      <c r="A8" s="18"/>
      <c r="C8" s="18"/>
      <c r="E8" s="30"/>
      <c r="F8" s="18"/>
      <c r="G8" s="338"/>
      <c r="H8" s="338"/>
      <c r="I8" s="338"/>
      <c r="J8" s="338"/>
      <c r="K8" s="338"/>
      <c r="L8" s="338"/>
      <c r="M8" s="338"/>
      <c r="N8" s="18"/>
      <c r="O8" s="18"/>
      <c r="P8" s="18"/>
      <c r="Q8" s="18"/>
      <c r="R8" s="18"/>
      <c r="S8" s="18"/>
      <c r="T8" s="18"/>
      <c r="U8" s="18"/>
      <c r="V8" s="18"/>
      <c r="W8" s="18"/>
    </row>
    <row r="9" spans="1:51" s="52" customFormat="1" ht="12.75" x14ac:dyDescent="0.2">
      <c r="B9" s="14" t="s">
        <v>23</v>
      </c>
    </row>
    <row r="10" spans="1:51" x14ac:dyDescent="0.2">
      <c r="C10" s="20">
        <v>2021</v>
      </c>
      <c r="D10" s="20">
        <v>2022</v>
      </c>
      <c r="E10" s="20">
        <v>2023</v>
      </c>
      <c r="F10" s="20">
        <v>2024</v>
      </c>
      <c r="G10" s="20">
        <v>2025</v>
      </c>
      <c r="H10" s="20">
        <v>2026</v>
      </c>
      <c r="I10" s="20">
        <v>2027</v>
      </c>
      <c r="J10" s="20">
        <v>2028</v>
      </c>
      <c r="K10" s="20">
        <v>2029</v>
      </c>
      <c r="L10" s="20">
        <v>2030</v>
      </c>
      <c r="M10" s="20">
        <v>2031</v>
      </c>
      <c r="N10" s="20">
        <v>2032</v>
      </c>
      <c r="O10" s="20">
        <v>2033</v>
      </c>
      <c r="P10" s="20">
        <v>2034</v>
      </c>
      <c r="Q10" s="20">
        <v>2035</v>
      </c>
      <c r="R10" s="20">
        <v>2036</v>
      </c>
      <c r="S10" s="20">
        <v>2037</v>
      </c>
      <c r="T10" s="20">
        <v>2038</v>
      </c>
      <c r="U10" s="20">
        <v>2039</v>
      </c>
      <c r="V10" s="20">
        <v>2040</v>
      </c>
      <c r="W10" s="20">
        <v>2041</v>
      </c>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row>
    <row r="11" spans="1:51" x14ac:dyDescent="0.2">
      <c r="B11" s="17" t="s">
        <v>24</v>
      </c>
      <c r="C11" s="18"/>
      <c r="D11" s="18"/>
      <c r="E11" s="18"/>
      <c r="F11" s="187"/>
      <c r="G11" s="339"/>
      <c r="H11" s="339"/>
      <c r="I11" s="339"/>
      <c r="J11" s="339"/>
      <c r="K11" s="339"/>
      <c r="L11" s="339"/>
      <c r="M11" s="339"/>
      <c r="N11" s="187"/>
      <c r="O11" s="187"/>
      <c r="P11" s="187"/>
      <c r="Q11" s="187"/>
      <c r="R11" s="187"/>
      <c r="S11" s="187"/>
      <c r="T11" s="187"/>
      <c r="U11" s="187"/>
      <c r="V11" s="187"/>
      <c r="W11" s="187"/>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row>
    <row r="12" spans="1:51" x14ac:dyDescent="0.2">
      <c r="B12" s="15" t="s">
        <v>26</v>
      </c>
      <c r="C12" s="1">
        <f>'Input data'!C13</f>
        <v>-3.5045600000000001</v>
      </c>
      <c r="D12" s="2">
        <f>'Input data'!D13</f>
        <v>-3.0163250000000001</v>
      </c>
      <c r="E12" s="2">
        <f>'Input data'!E13</f>
        <v>-1.7785709999999999</v>
      </c>
      <c r="F12" s="2">
        <f>'Input data'!F13</f>
        <v>-2.0899299999999998</v>
      </c>
      <c r="G12" s="3">
        <f>IF(G10&lt;=$C$6,
IF(AND(F78&lt;=-1.55,'Criteria results'!$F$5=4,'Criteria results'!$F$6&lt;0.4),F12+0.4,
IF(AND(F78&lt;=-1.55,'Criteria results'!$F$5=7,'Criteria results'!$F$6&lt;0.25),F12+0.25,
F12+'Criteria results'!$F$6)),F12)</f>
        <v>-1.6899299999999999</v>
      </c>
      <c r="H12" s="3">
        <f>IF(H10&lt;=$C$6,
IF(AND(G78&lt;=-1.55,'Criteria results'!$F$5=4,'Criteria results'!$F$6&lt;0.4),G12+0.4,
IF(AND(G78&lt;=-1.55,'Criteria results'!$F$5=7,'Criteria results'!$F$6&lt;0.25),G12+0.25,
G12+'Criteria results'!$F$6)),G12)</f>
        <v>-1.28993</v>
      </c>
      <c r="I12" s="3">
        <f>IF(I10&lt;=$C$6,
IF(AND(H78&lt;=-1.55,'Criteria results'!$F$5=4,'Criteria results'!$F$6&lt;0.4),H12+0.4,
IF(AND(H78&lt;=-1.55,'Criteria results'!$F$5=7,'Criteria results'!$F$6&lt;0.25),H12+0.25,
H12+'Criteria results'!$F$6)),H12)</f>
        <v>-0.88993</v>
      </c>
      <c r="J12" s="3">
        <f>IF(J10&lt;=$C$6,
IF(AND(I78&lt;=-1.55,'Criteria results'!$F$5=4,'Criteria results'!$F$6&lt;0.4),I12+0.4,
IF(AND(I78&lt;=-1.55,'Criteria results'!$F$5=7,'Criteria results'!$F$6&lt;0.25),I12+0.25,
I12+'Criteria results'!$F$6)),I12)</f>
        <v>-0.86992999999999998</v>
      </c>
      <c r="K12" s="95">
        <f>IF(K10&lt;=$C$6,
IF(AND(J78&lt;=-1.55,'Criteria results'!$F$5=4,'Criteria results'!$F$6&lt;0.4),J12+0.4,
IF(AND(J78&lt;=-1.55,'Criteria results'!$F$5=7,'Criteria results'!$F$6&lt;0.25),J12+0.25,
J12+'Criteria results'!$F$6)),J12)</f>
        <v>-0.86992999999999998</v>
      </c>
      <c r="L12" s="95">
        <f>IF(L10&lt;=$C$6,
IF(AND(K78&lt;=-1.55,'Criteria results'!$F$5=4,'Criteria results'!$F$6&lt;0.4),K12+0.4,
IF(AND(K78&lt;=-1.55,'Criteria results'!$F$5=7,'Criteria results'!$F$6&lt;0.25),K12+0.25,
K12+'Criteria results'!$F$6)),K12)</f>
        <v>-0.86992999999999998</v>
      </c>
      <c r="M12" s="95">
        <f>IF(M10&lt;=$C$6,
IF(AND(L78&lt;=-1.55,'Criteria results'!$F$5=4,'Criteria results'!$F$6&lt;0.4),L12+0.4,
IF(AND(L78&lt;=-1.55,'Criteria results'!$F$5=7,'Criteria results'!$F$6&lt;0.25),L12+0.25,
L12+'Criteria results'!$F$6)),L12)</f>
        <v>-0.86992999999999998</v>
      </c>
      <c r="N12" s="95">
        <f>M12</f>
        <v>-0.86992999999999998</v>
      </c>
      <c r="O12" s="95">
        <f t="shared" ref="O12:W12" si="0">N12</f>
        <v>-0.86992999999999998</v>
      </c>
      <c r="P12" s="95">
        <f t="shared" si="0"/>
        <v>-0.86992999999999998</v>
      </c>
      <c r="Q12" s="95">
        <f t="shared" si="0"/>
        <v>-0.86992999999999998</v>
      </c>
      <c r="R12" s="95">
        <f t="shared" si="0"/>
        <v>-0.86992999999999998</v>
      </c>
      <c r="S12" s="95">
        <f t="shared" si="0"/>
        <v>-0.86992999999999998</v>
      </c>
      <c r="T12" s="95">
        <f t="shared" si="0"/>
        <v>-0.86992999999999998</v>
      </c>
      <c r="U12" s="95">
        <f t="shared" si="0"/>
        <v>-0.86992999999999998</v>
      </c>
      <c r="V12" s="95">
        <f t="shared" si="0"/>
        <v>-0.86992999999999998</v>
      </c>
      <c r="W12" s="95">
        <f t="shared" si="0"/>
        <v>-0.86992999999999998</v>
      </c>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5"/>
    </row>
    <row r="13" spans="1:51" x14ac:dyDescent="0.2">
      <c r="B13" s="274" t="s">
        <v>137</v>
      </c>
      <c r="C13" s="18"/>
      <c r="D13" s="18"/>
      <c r="E13" s="18"/>
      <c r="F13" s="187"/>
      <c r="G13" s="187">
        <f>G12-F12</f>
        <v>0.39999999999999991</v>
      </c>
      <c r="H13" s="187">
        <f t="shared" ref="H13:W13" si="1">H12-G12</f>
        <v>0.39999999999999991</v>
      </c>
      <c r="I13" s="187">
        <f t="shared" si="1"/>
        <v>0.4</v>
      </c>
      <c r="J13" s="187">
        <f t="shared" si="1"/>
        <v>2.0000000000000018E-2</v>
      </c>
      <c r="K13" s="187">
        <f t="shared" si="1"/>
        <v>0</v>
      </c>
      <c r="L13" s="187">
        <f t="shared" si="1"/>
        <v>0</v>
      </c>
      <c r="M13" s="187">
        <f t="shared" si="1"/>
        <v>0</v>
      </c>
      <c r="N13" s="187">
        <f t="shared" si="1"/>
        <v>0</v>
      </c>
      <c r="O13" s="187">
        <f t="shared" si="1"/>
        <v>0</v>
      </c>
      <c r="P13" s="187">
        <f t="shared" si="1"/>
        <v>0</v>
      </c>
      <c r="Q13" s="187">
        <f t="shared" si="1"/>
        <v>0</v>
      </c>
      <c r="R13" s="187">
        <f t="shared" si="1"/>
        <v>0</v>
      </c>
      <c r="S13" s="187">
        <f t="shared" si="1"/>
        <v>0</v>
      </c>
      <c r="T13" s="187">
        <f t="shared" si="1"/>
        <v>0</v>
      </c>
      <c r="U13" s="187">
        <f t="shared" si="1"/>
        <v>0</v>
      </c>
      <c r="V13" s="187">
        <f t="shared" si="1"/>
        <v>0</v>
      </c>
      <c r="W13" s="187">
        <f t="shared" si="1"/>
        <v>0</v>
      </c>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row>
    <row r="14" spans="1:51" x14ac:dyDescent="0.2">
      <c r="B14" s="15" t="s">
        <v>27</v>
      </c>
      <c r="C14" s="1">
        <f>'Input data'!C14</f>
        <v>-3.3667099999999998E-2</v>
      </c>
      <c r="D14" s="2">
        <f>'Input data'!D14</f>
        <v>0</v>
      </c>
      <c r="E14" s="2">
        <f>'Input data'!E14</f>
        <v>0</v>
      </c>
      <c r="F14" s="2">
        <f>'Input data'!F14</f>
        <v>0</v>
      </c>
      <c r="G14" s="2">
        <f>'Input data'!G14</f>
        <v>0</v>
      </c>
      <c r="H14" s="2">
        <f>'Input data'!H14</f>
        <v>0</v>
      </c>
      <c r="I14" s="2">
        <f>'Input data'!I14</f>
        <v>0</v>
      </c>
      <c r="J14" s="2">
        <f>'Input data'!J14</f>
        <v>0</v>
      </c>
      <c r="K14" s="2">
        <f>'Input data'!K14</f>
        <v>0</v>
      </c>
      <c r="L14" s="2">
        <f>'Input data'!L14</f>
        <v>0</v>
      </c>
      <c r="M14" s="2">
        <f>'Input data'!M14</f>
        <v>0</v>
      </c>
      <c r="N14" s="2">
        <f>'Input data'!N14</f>
        <v>0</v>
      </c>
      <c r="O14" s="2">
        <f>'Input data'!O14</f>
        <v>0</v>
      </c>
      <c r="P14" s="2">
        <f>'Input data'!P14</f>
        <v>0</v>
      </c>
      <c r="Q14" s="2">
        <f>'Input data'!Q14</f>
        <v>0</v>
      </c>
      <c r="R14" s="2">
        <f>'Input data'!R14</f>
        <v>0</v>
      </c>
      <c r="S14" s="2">
        <f>'Input data'!S14</f>
        <v>0</v>
      </c>
      <c r="T14" s="2">
        <f>'Input data'!T14</f>
        <v>0</v>
      </c>
      <c r="U14" s="2">
        <f>'Input data'!U14</f>
        <v>0</v>
      </c>
      <c r="V14" s="2">
        <f>'Input data'!V14</f>
        <v>0</v>
      </c>
      <c r="W14" s="2">
        <f>'Input data'!W14</f>
        <v>0</v>
      </c>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5"/>
    </row>
    <row r="15" spans="1:51" x14ac:dyDescent="0.2">
      <c r="B15" s="15" t="s">
        <v>56</v>
      </c>
      <c r="C15" s="1">
        <f>'Input data'!C15</f>
        <v>-1.281914</v>
      </c>
      <c r="D15" s="2">
        <f>'Input data'!D15</f>
        <v>-0.1772164</v>
      </c>
      <c r="E15" s="2">
        <f>'Input data'!E15</f>
        <v>0.44991419999999999</v>
      </c>
      <c r="F15" s="2">
        <f>'Input data'!F15</f>
        <v>0.53834850000000001</v>
      </c>
      <c r="G15" s="2">
        <f>'Input data'!G15</f>
        <v>-2.9597929999999999</v>
      </c>
      <c r="H15" s="2">
        <f>'Input data'!H15</f>
        <v>-0.14993809999999999</v>
      </c>
      <c r="I15" s="2">
        <f>'Input data'!I15</f>
        <v>0</v>
      </c>
      <c r="J15" s="2">
        <f>'Input data'!J15</f>
        <v>0</v>
      </c>
      <c r="K15" s="2">
        <f>'Input data'!K15</f>
        <v>0</v>
      </c>
      <c r="L15" s="2">
        <f>'Input data'!L15</f>
        <v>0</v>
      </c>
      <c r="M15" s="2">
        <f>'Input data'!M15</f>
        <v>0</v>
      </c>
      <c r="N15" s="2">
        <f>'Input data'!N15</f>
        <v>0</v>
      </c>
      <c r="O15" s="2">
        <f>'Input data'!O15</f>
        <v>0</v>
      </c>
      <c r="P15" s="2">
        <f>'Input data'!P15</f>
        <v>0</v>
      </c>
      <c r="Q15" s="2">
        <f>'Input data'!Q15</f>
        <v>0</v>
      </c>
      <c r="R15" s="2">
        <f>'Input data'!R15</f>
        <v>0</v>
      </c>
      <c r="S15" s="2">
        <f>'Input data'!S15</f>
        <v>0</v>
      </c>
      <c r="T15" s="2">
        <f>'Input data'!T15</f>
        <v>0</v>
      </c>
      <c r="U15" s="2">
        <f>'Input data'!U15</f>
        <v>0</v>
      </c>
      <c r="V15" s="2">
        <f>'Input data'!V15</f>
        <v>0</v>
      </c>
      <c r="W15" s="2">
        <f>'Input data'!W15</f>
        <v>0</v>
      </c>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5"/>
    </row>
    <row r="16" spans="1:51" ht="5.65" customHeight="1" x14ac:dyDescent="0.2">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row>
    <row r="17" spans="1:50" ht="11.25" customHeight="1" x14ac:dyDescent="0.2">
      <c r="B17" s="19" t="str">
        <f>'Input data'!B19</f>
        <v>Cost of ageing and selected public revenue (based on the Commission-Council 2024 Ageing Report ("AR 2024"))</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row>
    <row r="18" spans="1:50" x14ac:dyDescent="0.2">
      <c r="A18" s="46"/>
      <c r="B18" s="15" t="s">
        <v>30</v>
      </c>
      <c r="C18" s="1">
        <f>'Input data'!C20</f>
        <v>0</v>
      </c>
      <c r="D18" s="78">
        <f>'Input data'!D20</f>
        <v>18.219909999999999</v>
      </c>
      <c r="E18" s="78">
        <f>'Input data'!E20</f>
        <v>18.952970000000001</v>
      </c>
      <c r="F18" s="78">
        <f>'Input data'!F20</f>
        <v>19.35406</v>
      </c>
      <c r="G18" s="78">
        <f>'Input data'!G20</f>
        <v>19.583819999999999</v>
      </c>
      <c r="H18" s="78">
        <f>'Input data'!H20</f>
        <v>19.586649999999999</v>
      </c>
      <c r="I18" s="78">
        <f>'Input data'!I20</f>
        <v>19.528929999999999</v>
      </c>
      <c r="J18" s="78">
        <f>'Input data'!J20</f>
        <v>19.404509999999998</v>
      </c>
      <c r="K18" s="78">
        <f>'Input data'!K20</f>
        <v>19.248909999999999</v>
      </c>
      <c r="L18" s="78">
        <f>'Input data'!L20</f>
        <v>19.152539999999998</v>
      </c>
      <c r="M18" s="78">
        <f>'Input data'!M20</f>
        <v>19.062450000000002</v>
      </c>
      <c r="N18" s="78">
        <f>'Input data'!N20</f>
        <v>18.976300000000002</v>
      </c>
      <c r="O18" s="78">
        <f>'Input data'!O20</f>
        <v>18.882459999999998</v>
      </c>
      <c r="P18" s="78">
        <f>'Input data'!P20</f>
        <v>18.795970000000001</v>
      </c>
      <c r="Q18" s="78">
        <f>'Input data'!Q20</f>
        <v>18.711729999999999</v>
      </c>
      <c r="R18" s="78">
        <f>'Input data'!R20</f>
        <v>18.63429</v>
      </c>
      <c r="S18" s="78">
        <f>'Input data'!S20</f>
        <v>18.55209</v>
      </c>
      <c r="T18" s="78">
        <f>'Input data'!T20</f>
        <v>18.477730000000001</v>
      </c>
      <c r="U18" s="78">
        <f>'Input data'!U20</f>
        <v>18.429030000000001</v>
      </c>
      <c r="V18" s="78">
        <f>'Input data'!V20</f>
        <v>18.392010000000003</v>
      </c>
      <c r="W18" s="78">
        <f>'Input data'!W20</f>
        <v>18.392019999999999</v>
      </c>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row>
    <row r="19" spans="1:50" x14ac:dyDescent="0.2">
      <c r="A19" s="46"/>
      <c r="B19" s="15" t="s">
        <v>36</v>
      </c>
      <c r="C19" s="1">
        <f>'Input data'!C26</f>
        <v>0.9383785</v>
      </c>
      <c r="D19" s="78">
        <f>'Input data'!D26</f>
        <v>0.82850809999999997</v>
      </c>
      <c r="E19" s="78">
        <f>'Input data'!E26</f>
        <v>1.442963</v>
      </c>
      <c r="F19" s="78">
        <f>'Input data'!F26</f>
        <v>1.43533</v>
      </c>
      <c r="G19" s="78">
        <f>'Input data'!G26</f>
        <v>1.4276960000000001</v>
      </c>
      <c r="H19" s="78">
        <f>'Input data'!H26</f>
        <v>1.4200619999999999</v>
      </c>
      <c r="I19" s="78">
        <f>'Input data'!I26</f>
        <v>1.4124289999999999</v>
      </c>
      <c r="J19" s="78">
        <f>'Input data'!J26</f>
        <v>1.404795</v>
      </c>
      <c r="K19" s="78">
        <f>'Input data'!K26</f>
        <v>1.3971610000000001</v>
      </c>
      <c r="L19" s="78">
        <f>'Input data'!L26</f>
        <v>1.389527</v>
      </c>
      <c r="M19" s="78">
        <f>'Input data'!M26</f>
        <v>1.381894</v>
      </c>
      <c r="N19" s="78">
        <f>'Input data'!N26</f>
        <v>1.37426</v>
      </c>
      <c r="O19" s="78">
        <f>'Input data'!O26</f>
        <v>1.3666259999999999</v>
      </c>
      <c r="P19" s="78">
        <f>'Input data'!P26</f>
        <v>1.358992</v>
      </c>
      <c r="Q19" s="78">
        <f>'Input data'!Q26</f>
        <v>1.351359</v>
      </c>
      <c r="R19" s="78">
        <f>'Input data'!R26</f>
        <v>1.3437250000000001</v>
      </c>
      <c r="S19" s="78">
        <f>'Input data'!S26</f>
        <v>1.3360909999999999</v>
      </c>
      <c r="T19" s="78">
        <f>'Input data'!T26</f>
        <v>1.328457</v>
      </c>
      <c r="U19" s="78">
        <f>'Input data'!U26</f>
        <v>1.320824</v>
      </c>
      <c r="V19" s="78">
        <f>'Input data'!V26</f>
        <v>1.3131900000000001</v>
      </c>
      <c r="W19" s="78">
        <f>'Input data'!W26</f>
        <v>1.3055559999999999</v>
      </c>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row>
    <row r="21" spans="1:50" x14ac:dyDescent="0.2">
      <c r="B21" s="17" t="s">
        <v>57</v>
      </c>
    </row>
    <row r="22" spans="1:50" ht="10.5" customHeight="1" x14ac:dyDescent="0.2">
      <c r="B22" s="19" t="s">
        <v>58</v>
      </c>
    </row>
    <row r="23" spans="1:50" x14ac:dyDescent="0.2">
      <c r="B23" s="15" t="s">
        <v>39</v>
      </c>
      <c r="C23" s="23">
        <f>'Input data'!C31</f>
        <v>48.051119999999997</v>
      </c>
      <c r="D23" s="77">
        <f>'Baseline NFPC'!D22</f>
        <v>49.991797582802391</v>
      </c>
      <c r="E23" s="77">
        <f>'Baseline NFPC'!E22</f>
        <v>50.935053817790177</v>
      </c>
      <c r="F23" s="77">
        <f>'Baseline NFPC'!F22</f>
        <v>52.163405103711625</v>
      </c>
      <c r="G23" s="23">
        <f>IF(AND(G50&gt;1,F50&gt;1),
G27*(1+('Baseline NFPC'!G$29+G51)/100)-F23*$C$47*(G12-F12)/100,
IF(G50=1,G27,F23*(1+G52/100)))</f>
        <v>53.419520242336986</v>
      </c>
      <c r="H23" s="23">
        <f>IF(AND(H50&gt;1,G50&gt;1),
H27*(1+('Baseline NFPC'!H$29+H51)/100)-G23*$C$47*(H12-G12)/100,
IF(H50=1,H27,G23*(1+H52/100)))</f>
        <v>54.864330009271114</v>
      </c>
      <c r="I23" s="23">
        <f>IF(AND(I50&gt;1,H50&gt;1),
I27*(1+I51/100)-H23*$C$47*(I12-H12)/100,
IF(I50=1,I27,H23*(1+I52/100)))</f>
        <v>56.011726156506668</v>
      </c>
      <c r="J23" s="23">
        <f t="shared" ref="J23:W23" si="2">IF(AND(J50&gt;1,I50&gt;1),
J27*(1+J51/100)-I23*$C$47*(J12-I12)/100,
IF(J50=1,J27,I23*(1+J52/100)))</f>
        <v>57.238081048317611</v>
      </c>
      <c r="K23" s="23">
        <f t="shared" si="2"/>
        <v>58.486765196383665</v>
      </c>
      <c r="L23" s="23">
        <f t="shared" si="2"/>
        <v>59.677847575077742</v>
      </c>
      <c r="M23" s="23">
        <f t="shared" si="2"/>
        <v>60.810606068811744</v>
      </c>
      <c r="N23" s="23">
        <f t="shared" si="2"/>
        <v>61.870523378575989</v>
      </c>
      <c r="O23" s="23">
        <f t="shared" si="2"/>
        <v>62.883481817550411</v>
      </c>
      <c r="P23" s="23">
        <f t="shared" si="2"/>
        <v>63.893506869981636</v>
      </c>
      <c r="Q23" s="23">
        <f t="shared" si="2"/>
        <v>64.916421469047847</v>
      </c>
      <c r="R23" s="23">
        <f t="shared" si="2"/>
        <v>65.952317474669599</v>
      </c>
      <c r="S23" s="23">
        <f t="shared" si="2"/>
        <v>67.001305572183597</v>
      </c>
      <c r="T23" s="23">
        <f t="shared" si="2"/>
        <v>68.014138178009119</v>
      </c>
      <c r="U23" s="23">
        <f t="shared" si="2"/>
        <v>68.995293811971919</v>
      </c>
      <c r="V23" s="23">
        <f t="shared" si="2"/>
        <v>69.952279235732107</v>
      </c>
      <c r="W23" s="23">
        <f t="shared" si="2"/>
        <v>70.888261018067183</v>
      </c>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row>
    <row r="24" spans="1:50" x14ac:dyDescent="0.2">
      <c r="A24" s="46"/>
      <c r="B24" s="47" t="s">
        <v>38</v>
      </c>
      <c r="C24" s="23">
        <f>+'Input data'!C30</f>
        <v>7.7806240000000004</v>
      </c>
      <c r="D24" s="77">
        <f>'Baseline NFPC'!D23</f>
        <v>4.0387769999999996</v>
      </c>
      <c r="E24" s="77">
        <f>'Baseline NFPC'!E23</f>
        <v>1.886822</v>
      </c>
      <c r="F24" s="77">
        <f>'Baseline NFPC'!F23</f>
        <v>2.4116029999999999</v>
      </c>
      <c r="G24" s="23">
        <f t="shared" ref="G24:S24" si="3">100*(G23/F23-1)</f>
        <v>2.4080389999999952</v>
      </c>
      <c r="H24" s="23">
        <f t="shared" si="3"/>
        <v>2.7046475902062994</v>
      </c>
      <c r="I24" s="23">
        <f t="shared" si="3"/>
        <v>2.0913335623376161</v>
      </c>
      <c r="J24" s="23">
        <f t="shared" si="3"/>
        <v>2.1894609860519054</v>
      </c>
      <c r="K24" s="23">
        <f t="shared" si="3"/>
        <v>2.1815618644027923</v>
      </c>
      <c r="L24" s="23">
        <f t="shared" si="3"/>
        <v>2.0364989834789515</v>
      </c>
      <c r="M24" s="23">
        <f t="shared" si="3"/>
        <v>1.8981222342326243</v>
      </c>
      <c r="N24" s="23">
        <f t="shared" si="3"/>
        <v>1.7429810000000101</v>
      </c>
      <c r="O24" s="23">
        <f t="shared" si="3"/>
        <v>1.6372229999999988</v>
      </c>
      <c r="P24" s="23">
        <f t="shared" si="3"/>
        <v>1.6061850000000044</v>
      </c>
      <c r="Q24" s="23">
        <f t="shared" si="3"/>
        <v>1.6009680000000026</v>
      </c>
      <c r="R24" s="23">
        <f t="shared" si="3"/>
        <v>1.595737999999991</v>
      </c>
      <c r="S24" s="23">
        <f t="shared" si="3"/>
        <v>1.5905250000000093</v>
      </c>
      <c r="T24" s="23">
        <f>100*(T23/S23-1)</f>
        <v>1.5116609999999975</v>
      </c>
      <c r="U24" s="23">
        <f t="shared" ref="U24" si="4">100*(U23/T23-1)</f>
        <v>1.4425759999999954</v>
      </c>
      <c r="V24" s="23">
        <f t="shared" ref="V24" si="5">100*(V23/U23-1)</f>
        <v>1.3870300000000002</v>
      </c>
      <c r="W24" s="23">
        <f t="shared" ref="W24" si="6">100*(W23/V23-1)</f>
        <v>1.3380289999999961</v>
      </c>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row>
    <row r="25" spans="1:50" ht="5.25" customHeight="1" x14ac:dyDescent="0.2">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row>
    <row r="26" spans="1:50" ht="15" x14ac:dyDescent="0.2">
      <c r="A26" s="158"/>
      <c r="B26" s="19" t="s">
        <v>59</v>
      </c>
      <c r="C26" s="157"/>
      <c r="D26" s="157"/>
      <c r="E26" s="157"/>
      <c r="F26" s="157"/>
    </row>
    <row r="27" spans="1:50" x14ac:dyDescent="0.2">
      <c r="B27" s="15" t="s">
        <v>39</v>
      </c>
      <c r="C27" s="23">
        <f>'Input data'!C34</f>
        <v>47.886940000000003</v>
      </c>
      <c r="D27" s="77">
        <f>+C27*(1+'Input data'!D33/100)</f>
        <v>49.136912682305208</v>
      </c>
      <c r="E27" s="77">
        <f>+D27*(1+'Input data'!E33/100)</f>
        <v>50.478286520545652</v>
      </c>
      <c r="F27" s="77">
        <f>+E27*(1+'Input data'!F33/100)</f>
        <v>52.074882417087132</v>
      </c>
      <c r="G27" s="23">
        <f>+F27*(1+'Input data'!G33/100)</f>
        <v>53.519957279668361</v>
      </c>
      <c r="H27" s="23">
        <f>+G27*(1+'Input data'!H33/100)</f>
        <v>54.825766633354206</v>
      </c>
      <c r="I27" s="23">
        <f>+H27*(1+'Input data'!I33/100)</f>
        <v>56.149989274321939</v>
      </c>
      <c r="J27" s="23">
        <f>+I27*(1+'Input data'!J33/100)</f>
        <v>57.340612737891014</v>
      </c>
      <c r="K27" s="23">
        <f>+J27*(1+'Input data'!K33/100)</f>
        <v>58.556569170518827</v>
      </c>
      <c r="L27" s="23">
        <f>+K27*(1+'Input data'!L33/100)</f>
        <v>59.713439101507724</v>
      </c>
      <c r="M27" s="23">
        <f>+L27*(1+'Input data'!M33/100)</f>
        <v>60.810606068811744</v>
      </c>
      <c r="N27" s="23">
        <f>+M27*(1+'Input data'!N33/100)</f>
        <v>61.870523986682045</v>
      </c>
      <c r="O27" s="23">
        <f>+N27*(1+'Input data'!O33/100)</f>
        <v>62.883481198202048</v>
      </c>
      <c r="P27" s="23">
        <f>+O27*(1+'Input data'!P33/100)</f>
        <v>63.893507498355007</v>
      </c>
      <c r="Q27" s="23">
        <f>+P27*(1+'Input data'!Q33/100)</f>
        <v>64.91642019067605</v>
      </c>
      <c r="R27" s="23">
        <f>+Q27*(1+'Input data'!R33/100)</f>
        <v>65.952319421719352</v>
      </c>
      <c r="S27" s="23">
        <f>+R27*(1+'Input data'!S33/100)</f>
        <v>67.001304912108864</v>
      </c>
      <c r="T27" s="23">
        <f>+S27*(1+'Input data'!T33/100)</f>
        <v>68.014137507956292</v>
      </c>
      <c r="U27" s="23">
        <f>+T27*(1+'Input data'!U33/100)</f>
        <v>68.995291771970329</v>
      </c>
      <c r="V27" s="23">
        <f>+U27*(1+'Input data'!V33/100)</f>
        <v>69.952275787529246</v>
      </c>
      <c r="W27" s="23">
        <f>+V27*(1+'Input data'!W33/100)</f>
        <v>70.888254725635335</v>
      </c>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row>
    <row r="28" spans="1:50" ht="5.25" customHeight="1" x14ac:dyDescent="0.2">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row>
    <row r="29" spans="1:50" x14ac:dyDescent="0.2">
      <c r="B29" s="19" t="s">
        <v>60</v>
      </c>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row>
    <row r="30" spans="1:50" x14ac:dyDescent="0.2">
      <c r="B30" s="15" t="s">
        <v>60</v>
      </c>
      <c r="C30" s="23">
        <f>100*(C23/C27-1)</f>
        <v>0.34284921943226188</v>
      </c>
      <c r="D30" s="77">
        <f t="shared" ref="D30:T30" si="7">100*(D23/D27-1)</f>
        <v>1.7398018186947306</v>
      </c>
      <c r="E30" s="77">
        <f t="shared" si="7"/>
        <v>0.9048787681384729</v>
      </c>
      <c r="F30" s="77">
        <f t="shared" si="7"/>
        <v>0.16999114067215437</v>
      </c>
      <c r="G30" s="23">
        <f t="shared" si="7"/>
        <v>-0.18766277560077205</v>
      </c>
      <c r="H30" s="23">
        <f t="shared" si="7"/>
        <v>7.0338051403462387E-2</v>
      </c>
      <c r="I30" s="23">
        <f t="shared" si="7"/>
        <v>-0.24623890334116716</v>
      </c>
      <c r="J30" s="23">
        <f t="shared" si="7"/>
        <v>-0.17881163921649179</v>
      </c>
      <c r="K30" s="23">
        <f t="shared" si="7"/>
        <v>-0.11920775947765749</v>
      </c>
      <c r="L30" s="23">
        <f t="shared" si="7"/>
        <v>-5.9603879738834298E-2</v>
      </c>
      <c r="M30" s="23">
        <f>100*(M23/M27-1)</f>
        <v>0</v>
      </c>
      <c r="N30" s="23">
        <f t="shared" si="7"/>
        <v>-9.8286876415443203E-7</v>
      </c>
      <c r="O30" s="23">
        <f t="shared" si="7"/>
        <v>9.8491423905500142E-7</v>
      </c>
      <c r="P30" s="23">
        <f t="shared" si="7"/>
        <v>-9.8346982779773384E-7</v>
      </c>
      <c r="Q30" s="23">
        <f t="shared" si="7"/>
        <v>1.9692580011110294E-6</v>
      </c>
      <c r="R30" s="23">
        <f t="shared" si="7"/>
        <v>-2.9522081557153967E-6</v>
      </c>
      <c r="S30" s="23">
        <f t="shared" si="7"/>
        <v>9.8516697022432709E-7</v>
      </c>
      <c r="T30" s="23">
        <f t="shared" si="7"/>
        <v>9.8516699242878758E-7</v>
      </c>
      <c r="U30" s="23">
        <f t="shared" ref="U30:W30" si="8">100*(U23/U27-1)</f>
        <v>2.9567257975315897E-6</v>
      </c>
      <c r="V30" s="23">
        <f t="shared" si="8"/>
        <v>4.9293648052284311E-6</v>
      </c>
      <c r="W30" s="23">
        <f t="shared" si="8"/>
        <v>8.8765506722765508E-6</v>
      </c>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row>
    <row r="31" spans="1:50" ht="4.9000000000000004" customHeight="1" x14ac:dyDescent="0.2">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row>
    <row r="32" spans="1:50" x14ac:dyDescent="0.2">
      <c r="B32" s="19" t="s">
        <v>61</v>
      </c>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row>
    <row r="33" spans="2:51" x14ac:dyDescent="0.2">
      <c r="B33" s="15" t="s">
        <v>38</v>
      </c>
      <c r="C33" s="1">
        <f t="shared" ref="C33:W33" si="9">100*((1+C24/100)*(1+C42/100)-1)</f>
        <v>15.289300207964951</v>
      </c>
      <c r="D33" s="2">
        <f t="shared" si="9"/>
        <v>20.600033658579477</v>
      </c>
      <c r="E33" s="2">
        <f t="shared" si="9"/>
        <v>10.02167371759688</v>
      </c>
      <c r="F33" s="2">
        <f>100*((1+F24/100)*(1+F42/100)-1)</f>
        <v>7.3090364599912583</v>
      </c>
      <c r="G33" s="1">
        <f>100*((1+G24/100)*(1+G42/100)-1)</f>
        <v>4.7817897547142607</v>
      </c>
      <c r="H33" s="1">
        <f t="shared" si="9"/>
        <v>5.5429018238728922</v>
      </c>
      <c r="I33" s="1">
        <f t="shared" si="9"/>
        <v>4.8598689335886514</v>
      </c>
      <c r="J33" s="1">
        <f t="shared" si="9"/>
        <v>4.907836815737654</v>
      </c>
      <c r="K33" s="1">
        <f t="shared" si="9"/>
        <v>4.846911067141968</v>
      </c>
      <c r="L33" s="1">
        <f t="shared" si="9"/>
        <v>4.6453227832464972</v>
      </c>
      <c r="M33" s="1">
        <f t="shared" si="9"/>
        <v>4.4507380858241019</v>
      </c>
      <c r="N33" s="1">
        <f t="shared" si="9"/>
        <v>4.2391206580407514</v>
      </c>
      <c r="O33" s="1">
        <f t="shared" si="9"/>
        <v>4.0782328776499455</v>
      </c>
      <c r="P33" s="1">
        <f t="shared" si="9"/>
        <v>3.9939303475000187</v>
      </c>
      <c r="Q33" s="1">
        <f t="shared" si="9"/>
        <v>3.9708105786000036</v>
      </c>
      <c r="R33" s="1">
        <f t="shared" si="9"/>
        <v>3.9476793346999939</v>
      </c>
      <c r="S33" s="1">
        <f t="shared" si="9"/>
        <v>3.9245673118750046</v>
      </c>
      <c r="T33" s="1">
        <f t="shared" si="9"/>
        <v>3.8261268707999951</v>
      </c>
      <c r="U33" s="1">
        <f>100*((1+U24/100)*(1+U42/100)-1)</f>
        <v>3.737714281999982</v>
      </c>
      <c r="V33" s="1">
        <f t="shared" si="9"/>
        <v>3.6631688235000182</v>
      </c>
      <c r="W33" s="1">
        <f t="shared" si="9"/>
        <v>3.5953335959749921</v>
      </c>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row>
    <row r="35" spans="2:51" x14ac:dyDescent="0.2">
      <c r="B35" s="17" t="s">
        <v>110</v>
      </c>
    </row>
    <row r="36" spans="2:51" x14ac:dyDescent="0.2">
      <c r="B36" s="15" t="s">
        <v>41</v>
      </c>
      <c r="C36" s="23">
        <f>'Input data'!C37</f>
        <v>2.2892730000000001</v>
      </c>
      <c r="D36" s="77">
        <f>'Input data'!D37</f>
        <v>1.9552499999999999</v>
      </c>
      <c r="E36" s="77">
        <f>'Input data'!E37</f>
        <v>2.4150100000000001</v>
      </c>
      <c r="F36" s="77">
        <f>'Input data'!F37</f>
        <v>2.7772610000000002</v>
      </c>
      <c r="G36" s="77">
        <f>'Input data'!G37</f>
        <v>2.4995349999999998</v>
      </c>
      <c r="H36" s="23">
        <f t="shared" ref="H36:W36" si="10">H99</f>
        <v>2.499600820862121</v>
      </c>
      <c r="I36" s="23">
        <f t="shared" si="10"/>
        <v>2.7518753324566312</v>
      </c>
      <c r="J36" s="23">
        <f t="shared" si="10"/>
        <v>2.9735921332278807</v>
      </c>
      <c r="K36" s="23">
        <f t="shared" si="10"/>
        <v>3.1772086299084141</v>
      </c>
      <c r="L36" s="23">
        <f t="shared" si="10"/>
        <v>3.3590521718898212</v>
      </c>
      <c r="M36" s="23">
        <f t="shared" si="10"/>
        <v>3.5259360418962324</v>
      </c>
      <c r="N36" s="23">
        <f t="shared" si="10"/>
        <v>3.6805284355947525</v>
      </c>
      <c r="O36" s="23">
        <f t="shared" si="10"/>
        <v>3.8256420561200848</v>
      </c>
      <c r="P36" s="23">
        <f t="shared" si="10"/>
        <v>3.9622572649856935</v>
      </c>
      <c r="Q36" s="23">
        <f t="shared" si="10"/>
        <v>4.0738667342477139</v>
      </c>
      <c r="R36" s="23">
        <f t="shared" si="10"/>
        <v>4.1666182038199748</v>
      </c>
      <c r="S36" s="23">
        <f t="shared" si="10"/>
        <v>4.2430870714648714</v>
      </c>
      <c r="T36" s="23">
        <f t="shared" si="10"/>
        <v>4.3052004258979411</v>
      </c>
      <c r="U36" s="23">
        <f t="shared" si="10"/>
        <v>4.3549272992696935</v>
      </c>
      <c r="V36" s="23">
        <f t="shared" si="10"/>
        <v>4.394160593152618</v>
      </c>
      <c r="W36" s="23">
        <f t="shared" si="10"/>
        <v>4.4241892050502223</v>
      </c>
    </row>
    <row r="37" spans="2:51" x14ac:dyDescent="0.2">
      <c r="B37" s="21" t="s">
        <v>63</v>
      </c>
      <c r="C37" s="1"/>
      <c r="D37" s="2">
        <f>'Input data'!D$39</f>
        <v>1.53</v>
      </c>
      <c r="E37" s="2">
        <f>'Input data'!E$39</f>
        <v>3.75</v>
      </c>
      <c r="F37" s="137">
        <f>'Input data'!F$39</f>
        <v>3.9555020000000001</v>
      </c>
      <c r="G37" s="137">
        <f>'Input data'!G$39</f>
        <v>4.0576990000000004</v>
      </c>
      <c r="H37" s="137">
        <f>'Input data'!H$39</f>
        <v>4.1636879999999996</v>
      </c>
      <c r="I37" s="1">
        <f>'Baseline NFPC'!I36</f>
        <v>4.2805169999999997</v>
      </c>
      <c r="J37" s="1">
        <f>'Baseline NFPC'!J36</f>
        <v>4.3973459999999998</v>
      </c>
      <c r="K37" s="1">
        <f>'Baseline NFPC'!K36</f>
        <v>4.5141749999999998</v>
      </c>
      <c r="L37" s="1">
        <f>'Baseline NFPC'!L36</f>
        <v>4.6310039999999999</v>
      </c>
      <c r="M37" s="1">
        <f>'Baseline NFPC'!M36</f>
        <v>4.747833</v>
      </c>
      <c r="N37" s="1">
        <f>'Baseline NFPC'!N36</f>
        <v>4.864662</v>
      </c>
      <c r="O37" s="1">
        <f>'Baseline NFPC'!O36</f>
        <v>4.9814910000000001</v>
      </c>
      <c r="P37" s="178">
        <f>'Baseline NFPC'!P36</f>
        <v>5.0983200000000002</v>
      </c>
      <c r="Q37" s="1">
        <f>'Baseline NFPC'!Q36</f>
        <v>5.0434039999999998</v>
      </c>
      <c r="R37" s="1">
        <f>'Baseline NFPC'!R36</f>
        <v>4.9884880000000003</v>
      </c>
      <c r="S37" s="1">
        <f>'Baseline NFPC'!S36</f>
        <v>4.9335719999999998</v>
      </c>
      <c r="T37" s="1">
        <f>'Baseline NFPC'!T36</f>
        <v>4.8786560000000003</v>
      </c>
      <c r="U37" s="1">
        <f>'Baseline NFPC'!U36</f>
        <v>4.8237399999999999</v>
      </c>
      <c r="V37" s="1">
        <f>'Baseline NFPC'!V36</f>
        <v>4.7688240000000004</v>
      </c>
      <c r="W37" s="1">
        <f>'Baseline NFPC'!W36</f>
        <v>4.713908</v>
      </c>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5"/>
    </row>
    <row r="38" spans="2:51" x14ac:dyDescent="0.2">
      <c r="B38" s="21" t="s">
        <v>64</v>
      </c>
      <c r="C38" s="1"/>
      <c r="D38" s="2">
        <f>'Input data'!D$38</f>
        <v>0.19833329999999999</v>
      </c>
      <c r="E38" s="2">
        <f>'Input data'!E$38</f>
        <v>2.7915420000000002</v>
      </c>
      <c r="F38" s="137">
        <f>'Input data'!F$38</f>
        <v>2.8907919999999998</v>
      </c>
      <c r="G38" s="137">
        <f>'Input data'!G$38</f>
        <v>1.427792</v>
      </c>
      <c r="H38" s="137">
        <f>'Input data'!H$38</f>
        <v>1.3572919999999999</v>
      </c>
      <c r="I38" s="1">
        <f>'Baseline NFPC'!I37</f>
        <v>1.5327305</v>
      </c>
      <c r="J38" s="1">
        <f>'Baseline NFPC'!J37</f>
        <v>1.708169</v>
      </c>
      <c r="K38" s="1">
        <f>'Baseline NFPC'!K37</f>
        <v>1.8836075000000001</v>
      </c>
      <c r="L38" s="1">
        <f>'Baseline NFPC'!L37</f>
        <v>2.0590459999999999</v>
      </c>
      <c r="M38" s="1">
        <f>'Baseline NFPC'!M37</f>
        <v>2.2344844999999998</v>
      </c>
      <c r="N38" s="1">
        <f>'Baseline NFPC'!N37</f>
        <v>2.4099229999999996</v>
      </c>
      <c r="O38" s="1">
        <f>'Baseline NFPC'!O37</f>
        <v>2.5853614999999994</v>
      </c>
      <c r="P38" s="178">
        <f>'Baseline NFPC'!P37</f>
        <v>2.7608000000000001</v>
      </c>
      <c r="Q38" s="1">
        <f>'Baseline NFPC'!Q37</f>
        <v>2.7227600000000001</v>
      </c>
      <c r="R38" s="1">
        <f>'Baseline NFPC'!R37</f>
        <v>2.68472</v>
      </c>
      <c r="S38" s="1">
        <f>'Baseline NFPC'!S37</f>
        <v>2.6466799999999999</v>
      </c>
      <c r="T38" s="1">
        <f>'Baseline NFPC'!T37</f>
        <v>2.6086400000000003</v>
      </c>
      <c r="U38" s="1">
        <f>'Baseline NFPC'!U37</f>
        <v>2.5706000000000002</v>
      </c>
      <c r="V38" s="1">
        <f>'Baseline NFPC'!V37</f>
        <v>2.5325600000000001</v>
      </c>
      <c r="W38" s="1">
        <f>'Baseline NFPC'!W37</f>
        <v>2.4945200000000001</v>
      </c>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5"/>
    </row>
    <row r="39" spans="2:51" s="4" customFormat="1" ht="12.75" x14ac:dyDescent="0.2">
      <c r="B39" s="15" t="s">
        <v>65</v>
      </c>
      <c r="C39" s="23">
        <f>'Baseline NFPC'!C38</f>
        <v>2.5958220000000001E-2</v>
      </c>
      <c r="D39" s="23">
        <f>'Baseline NFPC'!D38</f>
        <v>8.3310770000000006E-2</v>
      </c>
      <c r="E39" s="23">
        <f>'Baseline NFPC'!E38</f>
        <v>7.2874809999999998E-2</v>
      </c>
      <c r="F39" s="23">
        <f>'Baseline NFPC'!F38</f>
        <v>8.0585989999999996E-2</v>
      </c>
      <c r="G39" s="23">
        <f>'Baseline NFPC'!G38</f>
        <v>7.8226323E-2</v>
      </c>
      <c r="H39" s="23">
        <f>'Baseline NFPC'!H38</f>
        <v>7.5866656000000005E-2</v>
      </c>
      <c r="I39" s="23">
        <f>'Baseline NFPC'!I38</f>
        <v>7.3506988999999995E-2</v>
      </c>
      <c r="J39" s="23">
        <f>'Baseline NFPC'!J38</f>
        <v>7.1147321999999999E-2</v>
      </c>
      <c r="K39" s="23">
        <f>'Baseline NFPC'!K38</f>
        <v>6.8787655000000003E-2</v>
      </c>
      <c r="L39" s="23">
        <f>'Baseline NFPC'!L38</f>
        <v>6.6427987999999993E-2</v>
      </c>
      <c r="M39" s="23">
        <f>'Baseline NFPC'!M38</f>
        <v>6.4068320999999998E-2</v>
      </c>
      <c r="N39" s="23">
        <f>'Baseline NFPC'!N38</f>
        <v>6.1708654000000002E-2</v>
      </c>
      <c r="O39" s="23">
        <f>'Baseline NFPC'!O38</f>
        <v>5.9348987000000006E-2</v>
      </c>
      <c r="P39" s="23">
        <f>'Baseline NFPC'!P38</f>
        <v>5.6989320000000003E-2</v>
      </c>
      <c r="Q39" s="23">
        <f>'Baseline NFPC'!Q38</f>
        <v>5.6989320000000003E-2</v>
      </c>
      <c r="R39" s="23">
        <f>'Baseline NFPC'!R38</f>
        <v>5.6989320000000003E-2</v>
      </c>
      <c r="S39" s="23">
        <f>'Baseline NFPC'!S38</f>
        <v>5.6989320000000003E-2</v>
      </c>
      <c r="T39" s="23">
        <f>'Baseline NFPC'!T38</f>
        <v>5.6989320000000003E-2</v>
      </c>
      <c r="U39" s="23">
        <f>'Baseline NFPC'!U38</f>
        <v>5.6989320000000003E-2</v>
      </c>
      <c r="V39" s="23">
        <f>'Baseline NFPC'!V38</f>
        <v>5.6989320000000003E-2</v>
      </c>
      <c r="W39" s="23">
        <f>'Baseline NFPC'!W38</f>
        <v>5.6989320000000003E-2</v>
      </c>
    </row>
    <row r="40" spans="2:51" x14ac:dyDescent="0.2">
      <c r="C40" s="1"/>
      <c r="D40" s="1"/>
      <c r="E40" s="81"/>
      <c r="F40" s="81"/>
      <c r="G40" s="81"/>
      <c r="H40" s="81"/>
      <c r="I40" s="81"/>
      <c r="J40" s="81"/>
      <c r="K40" s="81"/>
      <c r="L40" s="81"/>
      <c r="M40" s="81"/>
      <c r="N40" s="81"/>
      <c r="O40" s="1"/>
      <c r="P40" s="1"/>
      <c r="Q40" s="1"/>
      <c r="R40" s="1"/>
      <c r="S40" s="1"/>
      <c r="T40" s="1"/>
      <c r="U40" s="1"/>
      <c r="V40" s="1"/>
      <c r="W40" s="1"/>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5"/>
    </row>
    <row r="41" spans="2:51" x14ac:dyDescent="0.2">
      <c r="B41" s="17" t="s">
        <v>66</v>
      </c>
      <c r="C41" s="1"/>
      <c r="D41" s="1"/>
      <c r="E41" s="1"/>
      <c r="F41" s="1"/>
      <c r="G41" s="1"/>
      <c r="H41" s="1"/>
      <c r="I41" s="1"/>
      <c r="J41" s="1"/>
      <c r="K41" s="1"/>
      <c r="L41" s="1"/>
      <c r="M41" s="1"/>
      <c r="N41" s="1"/>
      <c r="O41" s="1"/>
      <c r="P41" s="1"/>
      <c r="Q41" s="1"/>
      <c r="R41" s="1"/>
      <c r="S41" s="1"/>
      <c r="T41" s="1"/>
      <c r="U41" s="1"/>
      <c r="V41" s="1"/>
      <c r="W41" s="1"/>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5"/>
    </row>
    <row r="42" spans="2:51" x14ac:dyDescent="0.2">
      <c r="B42" s="15" t="s">
        <v>111</v>
      </c>
      <c r="C42" s="1">
        <f>'Input data'!C42</f>
        <v>6.9666290000000002</v>
      </c>
      <c r="D42" s="2">
        <f>'Input data'!D42</f>
        <v>15.91835</v>
      </c>
      <c r="E42" s="2">
        <f>'Input data'!E42</f>
        <v>7.9842040000000001</v>
      </c>
      <c r="F42" s="2">
        <f>'Input data'!F42</f>
        <v>4.782108</v>
      </c>
      <c r="G42" s="2">
        <f>'Input data'!G42</f>
        <v>2.3179340000000002</v>
      </c>
      <c r="H42" s="2">
        <f>'Input data'!H42</f>
        <v>2.7635109999999998</v>
      </c>
      <c r="I42" s="1">
        <f>'Baseline NFPC'!I41</f>
        <v>2.7118221249999999</v>
      </c>
      <c r="J42" s="1">
        <f>'Baseline NFPC'!J41</f>
        <v>2.6601332499999999</v>
      </c>
      <c r="K42" s="1">
        <f>'Baseline NFPC'!K41</f>
        <v>2.6084443749999999</v>
      </c>
      <c r="L42" s="1">
        <f>'Baseline NFPC'!L41</f>
        <v>2.5567555</v>
      </c>
      <c r="M42" s="1">
        <f>'Baseline NFPC'!M41</f>
        <v>2.505066625</v>
      </c>
      <c r="N42" s="1">
        <f>'Baseline NFPC'!N41</f>
        <v>2.45337775</v>
      </c>
      <c r="O42" s="1">
        <f>'Baseline NFPC'!O41</f>
        <v>2.4016888750000001</v>
      </c>
      <c r="P42" s="178">
        <f>'Baseline NFPC'!P41</f>
        <v>2.35</v>
      </c>
      <c r="Q42" s="1">
        <f>'Baseline NFPC'!Q41</f>
        <v>2.3325</v>
      </c>
      <c r="R42" s="1">
        <f>'Baseline NFPC'!R41</f>
        <v>2.3149999999999999</v>
      </c>
      <c r="S42" s="1">
        <f>'Baseline NFPC'!S41</f>
        <v>2.2974999999999999</v>
      </c>
      <c r="T42" s="1">
        <f>'Baseline NFPC'!T41</f>
        <v>2.2800000000000002</v>
      </c>
      <c r="U42" s="1">
        <f>'Baseline NFPC'!U41</f>
        <v>2.2625000000000002</v>
      </c>
      <c r="V42" s="1">
        <f>'Baseline NFPC'!V41</f>
        <v>2.2450000000000001</v>
      </c>
      <c r="W42" s="1">
        <f>'Baseline NFPC'!W41</f>
        <v>2.2275</v>
      </c>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5"/>
    </row>
    <row r="43" spans="2:51" x14ac:dyDescent="0.2">
      <c r="B43" s="15" t="s">
        <v>67</v>
      </c>
      <c r="C43" s="1">
        <f>'Baseline NFPC'!C42</f>
        <v>0.99984269999999997</v>
      </c>
      <c r="D43" s="1">
        <f>'Baseline NFPC'!D42</f>
        <v>1.0005489999999999</v>
      </c>
      <c r="E43" s="1">
        <f>'Baseline NFPC'!E42</f>
        <v>0.99989380000000005</v>
      </c>
      <c r="F43" s="1">
        <f>'Baseline NFPC'!F42</f>
        <v>0.99997709999999995</v>
      </c>
      <c r="G43" s="1">
        <f>'Baseline NFPC'!G42</f>
        <v>1.000008</v>
      </c>
      <c r="H43" s="1">
        <f>'Baseline NFPC'!H42</f>
        <v>1</v>
      </c>
      <c r="I43" s="1">
        <f>'Baseline NFPC'!I42</f>
        <v>1</v>
      </c>
      <c r="J43" s="1">
        <f>'Baseline NFPC'!J42</f>
        <v>1</v>
      </c>
      <c r="K43" s="1">
        <f>'Baseline NFPC'!K42</f>
        <v>1</v>
      </c>
      <c r="L43" s="1">
        <f>'Baseline NFPC'!L42</f>
        <v>1</v>
      </c>
      <c r="M43" s="1">
        <f>'Baseline NFPC'!M42</f>
        <v>1</v>
      </c>
      <c r="N43" s="1">
        <f>'Baseline NFPC'!N42</f>
        <v>1</v>
      </c>
      <c r="O43" s="1">
        <f>'Baseline NFPC'!O42</f>
        <v>1</v>
      </c>
      <c r="P43" s="1">
        <f>'Baseline NFPC'!P42</f>
        <v>1</v>
      </c>
      <c r="Q43" s="1">
        <f>'Baseline NFPC'!Q42</f>
        <v>1</v>
      </c>
      <c r="R43" s="1">
        <f>'Baseline NFPC'!R42</f>
        <v>1</v>
      </c>
      <c r="S43" s="1">
        <f>'Baseline NFPC'!S42</f>
        <v>1</v>
      </c>
      <c r="T43" s="1">
        <f>'Baseline NFPC'!T42</f>
        <v>1</v>
      </c>
      <c r="U43" s="1">
        <f>'Baseline NFPC'!U42</f>
        <v>1</v>
      </c>
      <c r="V43" s="1">
        <f>'Baseline NFPC'!V42</f>
        <v>1</v>
      </c>
      <c r="W43" s="1">
        <f>'Baseline NFPC'!W42</f>
        <v>1</v>
      </c>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5"/>
    </row>
    <row r="44" spans="2:51" x14ac:dyDescent="0.2">
      <c r="C44" s="1"/>
      <c r="D44" s="1"/>
      <c r="E44" s="1"/>
      <c r="F44" s="1"/>
      <c r="G44" s="1"/>
      <c r="H44" s="1"/>
      <c r="I44" s="1"/>
      <c r="J44" s="1"/>
      <c r="K44" s="1"/>
      <c r="L44" s="1"/>
      <c r="M44" s="1"/>
      <c r="N44" s="1"/>
      <c r="O44" s="1"/>
      <c r="P44" s="1"/>
      <c r="Q44" s="1"/>
      <c r="R44" s="1"/>
      <c r="S44" s="1"/>
      <c r="T44" s="1"/>
      <c r="U44" s="1"/>
      <c r="V44" s="1"/>
      <c r="W44" s="1"/>
    </row>
    <row r="45" spans="2:51" s="52" customFormat="1" ht="12.75" x14ac:dyDescent="0.2">
      <c r="B45" s="60" t="s">
        <v>68</v>
      </c>
      <c r="C45" s="53"/>
    </row>
    <row r="46" spans="2:51" x14ac:dyDescent="0.2">
      <c r="C46" s="25"/>
    </row>
    <row r="47" spans="2:51" x14ac:dyDescent="0.2">
      <c r="B47" s="39" t="s">
        <v>46</v>
      </c>
      <c r="C47" s="40">
        <f>'Input data'!C49</f>
        <v>0.75</v>
      </c>
    </row>
    <row r="48" spans="2:51" x14ac:dyDescent="0.2">
      <c r="B48" s="41" t="s">
        <v>181</v>
      </c>
      <c r="C48" s="42">
        <f>'Input data'!C50</f>
        <v>0.29799999999999999</v>
      </c>
    </row>
    <row r="49" spans="2:48" x14ac:dyDescent="0.2">
      <c r="C49" s="43"/>
    </row>
    <row r="50" spans="2:48" outlineLevel="1" x14ac:dyDescent="0.2">
      <c r="B50" s="15" t="s">
        <v>69</v>
      </c>
      <c r="C50" s="23">
        <v>0</v>
      </c>
      <c r="D50" s="23">
        <f>IF(AND(ABS((D12-C12)-('Input data'!D13-'Input data'!C13))&gt;0.0001,ABS(D12-C12)&gt;0.0001,D$10&gt;$C$5),4,IF(C50=4,3,IF(C50=3,2,IF(C50=2,1,0))))</f>
        <v>0</v>
      </c>
      <c r="E50" s="23">
        <f>IF(AND(ABS((E12-D12)-('Input data'!E13-'Input data'!D13))&gt;0.0001,ABS(E12-D12)&gt;0.0001,E$10&gt;$C$5),4,IF(D50=4,3,IF(D50=3,2,IF(D50=2,1,0))))</f>
        <v>0</v>
      </c>
      <c r="F50" s="23">
        <f>IF(AND(ABS((F12-E12)-('Input data'!F13-'Input data'!E13))&gt;0.0001,ABS(F12-E12)&gt;0.0001,F$10&gt;$C$5),4,IF(E50=4,3,IF(E50=3,2,IF(E50=2,1,0))))</f>
        <v>0</v>
      </c>
      <c r="G50" s="23">
        <f>IF(AND(ABS((G12-F12)-('Baseline NFPC'!G12-'Baseline NFPC'!F12))&gt;0.0001,ABS(G12-F12)&gt;0.0001,G$10&gt;$C$5),4,IF(F50=4,3,IF(F50=3,2,IF(F50=2,1,0))))</f>
        <v>4</v>
      </c>
      <c r="H50" s="23">
        <f>IF(AND(ABS((H12-G12)-('Baseline NFPC'!H12-'Baseline NFPC'!G12))&gt;0.0001,ABS(H12-G12)&gt;0.0001,H$10&gt;$C$5),4,IF(G50=4,3,IF(G50=3,2,IF(G50=2,1,0))))</f>
        <v>4</v>
      </c>
      <c r="I50" s="23">
        <f>IF(AND(ABS((I12-H12)-('Baseline NFPC'!I12-'Baseline NFPC'!H12))&gt;0.0001,ABS(I12-H12)&gt;0.0001,I$10&gt;$C$5),4,IF(H50=4,3,IF(H50=3,2,IF(H50=2,1,0))))</f>
        <v>4</v>
      </c>
      <c r="J50" s="23">
        <f>IF(AND(ABS((J12-I12)-('Baseline NFPC'!J12-'Baseline NFPC'!I12))&gt;0.0001,ABS(J12-I12)&gt;0.0001,J$10&gt;$C$5),4,IF(I50=4,3,IF(I50=3,2,IF(I50=2,1,0))))</f>
        <v>4</v>
      </c>
      <c r="K50" s="23">
        <f>IF(AND(ABS((K12-J12)-('Baseline NFPC'!K12-'Baseline NFPC'!J12))&gt;0.0001,ABS(K12-J12)&gt;0.0001,K$10&gt;$C$5),4,IF(J50=4,3,IF(J50=3,2,IF(J50=2,1,0))))</f>
        <v>3</v>
      </c>
      <c r="L50" s="23">
        <f>IF(AND(ABS((L12-K12)-('Baseline NFPC'!L12-'Baseline NFPC'!K12))&gt;0.0001,ABS(L12-K12)&gt;0.0001,L$10&gt;$C$5),4,IF(K50=4,3,IF(K50=3,2,IF(K50=2,1,0))))</f>
        <v>2</v>
      </c>
      <c r="M50" s="23">
        <f>IF(AND(ABS((M12-L12)-('Baseline NFPC'!M12-'Baseline NFPC'!L12))&gt;0.0001,ABS(M12-L12)&gt;0.0001,M$10&gt;$C$5),4,IF(L50=4,3,IF(L50=3,2,IF(L50=2,1,0))))</f>
        <v>1</v>
      </c>
      <c r="N50" s="23">
        <f>IF(AND(ABS((N12-M12)-('Baseline NFPC'!N12-'Baseline NFPC'!M12))&gt;0.0001,ABS(N12-M12)&gt;0.0001,N$10&gt;$C$5),4,IF(M50=4,3,IF(M50=3,2,IF(M50=2,1,0))))</f>
        <v>0</v>
      </c>
      <c r="O50" s="23">
        <f>IF(AND(ABS((O12-N12)-('Baseline NFPC'!O12-'Baseline NFPC'!N12))&gt;0.0001,ABS(O12-N12)&gt;0.0001,O$10&gt;$C$5),4,IF(N50=4,3,IF(N50=3,2,IF(N50=2,1,0))))</f>
        <v>0</v>
      </c>
      <c r="P50" s="23">
        <f>IF(AND(ABS((P12-O12)-('Baseline NFPC'!P12-'Baseline NFPC'!O12))&gt;0.0001,ABS(P12-O12)&gt;0.0001,P$10&gt;$C$5),4,IF(O50=4,3,IF(O50=3,2,IF(O50=2,1,0))))</f>
        <v>0</v>
      </c>
      <c r="Q50" s="23">
        <f>IF(AND(ABS((Q12-P12)-('Baseline NFPC'!Q12-'Baseline NFPC'!P12))&gt;0.0001,ABS(Q12-P12)&gt;0.0001,Q$10&gt;$C$5),4,IF(P50=4,3,IF(P50=3,2,IF(P50=2,1,0))))</f>
        <v>0</v>
      </c>
      <c r="R50" s="23">
        <f>IF(AND(ABS((R12-Q12)-('Baseline NFPC'!R12-'Baseline NFPC'!Q12))&gt;0.0001,ABS(R12-Q12)&gt;0.0001,R$10&gt;$C$5),4,IF(Q50=4,3,IF(Q50=3,2,IF(Q50=2,1,0))))</f>
        <v>0</v>
      </c>
      <c r="S50" s="23">
        <f>IF(AND(ABS((S12-R12)-('Baseline NFPC'!S12-'Baseline NFPC'!R12))&gt;0.0001,ABS(S12-R12)&gt;0.0001,S$10&gt;$C$5),4,IF(R50=4,3,IF(R50=3,2,IF(R50=2,1,0))))</f>
        <v>0</v>
      </c>
      <c r="T50" s="23">
        <f>IF(AND(ABS((T12-S12)-('Baseline NFPC'!T12-'Baseline NFPC'!S12))&gt;0.0001,ABS(T12-S12)&gt;0.0001,T$10&gt;$C$5),4,IF(S50=4,3,IF(S50=3,2,IF(S50=2,1,0))))</f>
        <v>0</v>
      </c>
      <c r="U50" s="23">
        <f>IF(AND(ABS((U12-T12)-('Baseline NFPC'!U12-'Baseline NFPC'!T12))&gt;0.0001,ABS(U12-T12)&gt;0.0001,U$10&gt;$C$5),4,IF(T50=4,3,IF(T50=3,2,IF(T50=2,1,0))))</f>
        <v>0</v>
      </c>
      <c r="V50" s="23">
        <f>IF(AND(ABS((V12-U12)-('Baseline NFPC'!V12-'Baseline NFPC'!U12))&gt;0.0001,ABS(V12-U12)&gt;0.0001,V$10&gt;$C$5),4,IF(U50=4,3,IF(U50=3,2,IF(U50=2,1,0))))</f>
        <v>0</v>
      </c>
      <c r="W50" s="23">
        <f>IF(AND(ABS((W12-V12)-('Baseline NFPC'!W12-'Baseline NFPC'!V12))&gt;0.0001,ABS(W12-V12)&gt;0.0001,W$10&gt;$C$5),4,IF(V50=4,3,IF(V50=3,2,IF(V50=2,1,0))))</f>
        <v>0</v>
      </c>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row>
    <row r="51" spans="2:48" outlineLevel="1" x14ac:dyDescent="0.2">
      <c r="B51" s="15" t="s">
        <v>70</v>
      </c>
      <c r="C51" s="23">
        <v>0</v>
      </c>
      <c r="D51" s="23">
        <v>0</v>
      </c>
      <c r="E51" s="23">
        <f>IF(D50=4,2/3*(D30-'Baseline NFPC'!D29),IF(D50=3,1/3*(C30-'Baseline NFPC'!C29),0))</f>
        <v>0</v>
      </c>
      <c r="F51" s="23">
        <f>IF(E50=4,2/3*(E30-'Baseline NFPC'!E29),IF(E50=3,1/3*(D30-'Baseline NFPC'!D29),0))</f>
        <v>0</v>
      </c>
      <c r="G51" s="23">
        <f>IF(F50=4,2/3*(F30-'Baseline NFPC'!F29),IF(F50=3,1/3*(E30-'Baseline NFPC'!E29),0))</f>
        <v>0</v>
      </c>
      <c r="H51" s="23">
        <f>IF(G50=4,2/3*(G30-'Baseline NFPC'!G29),IF(G50=3,1/3*(F30-'Baseline NFPC'!F29),0))</f>
        <v>-0.19493066794181352</v>
      </c>
      <c r="I51" s="23">
        <f>IF(H50=4,2/3*H30,IF(H50=3,1/3*G30,0))</f>
        <v>4.6892034268974925E-2</v>
      </c>
      <c r="J51" s="23">
        <f t="shared" ref="J51:W51" si="11">IF(I50=4,2/3*I30,IF(I50=3,1/3*H30,0))</f>
        <v>-0.16415926889411142</v>
      </c>
      <c r="K51" s="23">
        <f t="shared" si="11"/>
        <v>-0.11920775947766118</v>
      </c>
      <c r="L51" s="23">
        <f t="shared" si="11"/>
        <v>-5.9603879738830592E-2</v>
      </c>
      <c r="M51" s="23">
        <f t="shared" si="11"/>
        <v>0</v>
      </c>
      <c r="N51" s="23">
        <f t="shared" si="11"/>
        <v>0</v>
      </c>
      <c r="O51" s="23">
        <f t="shared" si="11"/>
        <v>0</v>
      </c>
      <c r="P51" s="23">
        <f t="shared" si="11"/>
        <v>0</v>
      </c>
      <c r="Q51" s="23">
        <f t="shared" si="11"/>
        <v>0</v>
      </c>
      <c r="R51" s="23">
        <f t="shared" si="11"/>
        <v>0</v>
      </c>
      <c r="S51" s="23">
        <f t="shared" si="11"/>
        <v>0</v>
      </c>
      <c r="T51" s="23">
        <f t="shared" si="11"/>
        <v>0</v>
      </c>
      <c r="U51" s="23">
        <f t="shared" si="11"/>
        <v>0</v>
      </c>
      <c r="V51" s="23">
        <f t="shared" si="11"/>
        <v>0</v>
      </c>
      <c r="W51" s="23">
        <f t="shared" si="11"/>
        <v>0</v>
      </c>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row>
    <row r="52" spans="2:48" outlineLevel="1" x14ac:dyDescent="0.2">
      <c r="B52" s="15" t="s">
        <v>71</v>
      </c>
      <c r="C52" s="23"/>
      <c r="D52" s="23">
        <f>'Input data'!D30-$C$47*((D12-C12)-('Input data'!D13-'Input data'!C13))</f>
        <v>4.0387769999999996</v>
      </c>
      <c r="E52" s="23">
        <f>'Input data'!E30-$C$47*((E12-D12)-('Input data'!E13-'Input data'!D13))</f>
        <v>1.886822</v>
      </c>
      <c r="F52" s="23">
        <f>'Input data'!F30-$C$47*((F12-E12)-('Input data'!F13-'Input data'!E13))</f>
        <v>2.4116029999999999</v>
      </c>
      <c r="G52" s="23">
        <f>'Input data'!G30-$C$47*(G12-F12)</f>
        <v>2.408039</v>
      </c>
      <c r="H52" s="23">
        <f>'Input data'!H30-$C$47*(H12-G12)</f>
        <v>2.603259</v>
      </c>
      <c r="I52" s="23">
        <f>'Input data'!I30-$C$47*(I12-H12)</f>
        <v>1.9260339999999998</v>
      </c>
      <c r="J52" s="23">
        <f>'Input data'!J30-$C$47*(J12-I12)</f>
        <v>1.9163329999999998</v>
      </c>
      <c r="K52" s="23">
        <f>'Input data'!K30-$C$47*(K12-J12)</f>
        <v>1.931135</v>
      </c>
      <c r="L52" s="23">
        <f>'Input data'!L30-$C$47*(L12-K12)</f>
        <v>1.9756419999999999</v>
      </c>
      <c r="M52" s="23">
        <f>'Input data'!M30-$C$47*(M12-L12)</f>
        <v>1.8373889999999999</v>
      </c>
      <c r="N52" s="23">
        <f>'Input data'!N30-$C$47*(N12-M12)</f>
        <v>1.7429809999999999</v>
      </c>
      <c r="O52" s="23">
        <f>'Input data'!O30-$C$47*(O12-N12)</f>
        <v>1.6372230000000001</v>
      </c>
      <c r="P52" s="23">
        <f>'Input data'!P30-$C$47*(P12-O12)</f>
        <v>1.606185</v>
      </c>
      <c r="Q52" s="23">
        <f>'Input data'!Q30-$C$47*(Q12-P12)</f>
        <v>1.6009679999999999</v>
      </c>
      <c r="R52" s="23">
        <f>'Input data'!R30-$C$47*(R12-Q12)</f>
        <v>1.5957380000000001</v>
      </c>
      <c r="S52" s="23">
        <f>'Input data'!S30-$C$47*(S12-R12)</f>
        <v>1.590525</v>
      </c>
      <c r="T52" s="23">
        <f>'Input data'!T30-$C$47*(T12-S12)</f>
        <v>1.5116609999999999</v>
      </c>
      <c r="U52" s="23">
        <f>'Input data'!U30-$C$47*(U12-T12)</f>
        <v>1.4425760000000001</v>
      </c>
      <c r="V52" s="23">
        <f>'Input data'!V30-$C$47*(V12-U12)</f>
        <v>1.38703</v>
      </c>
      <c r="W52" s="23">
        <f>'Input data'!W30-$C$47*(W12-V12)</f>
        <v>1.3380289999999999</v>
      </c>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row>
    <row r="53" spans="2:48" x14ac:dyDescent="0.2">
      <c r="C53" s="25"/>
    </row>
    <row r="54" spans="2:48" s="52" customFormat="1" ht="12.75" outlineLevel="1" x14ac:dyDescent="0.2">
      <c r="B54" s="57" t="s">
        <v>72</v>
      </c>
      <c r="C54" s="54"/>
      <c r="E54" s="55"/>
      <c r="F54" s="54"/>
    </row>
    <row r="55" spans="2:48" outlineLevel="1" x14ac:dyDescent="0.2">
      <c r="B55" s="30"/>
      <c r="C55" s="18"/>
      <c r="E55" s="31"/>
      <c r="F55" s="18"/>
    </row>
    <row r="56" spans="2:48" outlineLevel="1" x14ac:dyDescent="0.2">
      <c r="B56" s="65"/>
      <c r="C56" s="66">
        <v>2021</v>
      </c>
      <c r="D56" s="66">
        <v>2022</v>
      </c>
      <c r="E56" s="66">
        <v>2023</v>
      </c>
      <c r="F56" s="66">
        <v>2024</v>
      </c>
      <c r="G56" s="66">
        <v>2025</v>
      </c>
      <c r="H56" s="66">
        <v>2026</v>
      </c>
      <c r="I56" s="66">
        <v>2027</v>
      </c>
      <c r="J56" s="66">
        <v>2028</v>
      </c>
      <c r="K56" s="66">
        <v>2029</v>
      </c>
      <c r="L56" s="66">
        <v>2030</v>
      </c>
      <c r="M56" s="66">
        <v>2031</v>
      </c>
      <c r="N56" s="66">
        <v>2032</v>
      </c>
      <c r="O56" s="66">
        <v>2033</v>
      </c>
      <c r="P56" s="66">
        <v>2034</v>
      </c>
      <c r="Q56" s="66">
        <v>2035</v>
      </c>
      <c r="R56" s="66">
        <v>2036</v>
      </c>
      <c r="S56" s="66">
        <v>2037</v>
      </c>
      <c r="T56" s="66">
        <v>2038</v>
      </c>
      <c r="U56" s="66">
        <v>2039</v>
      </c>
      <c r="V56" s="66">
        <v>2040</v>
      </c>
      <c r="W56" s="66">
        <v>2041</v>
      </c>
    </row>
    <row r="57" spans="2:48" ht="10.5" customHeight="1" outlineLevel="1" x14ac:dyDescent="0.2">
      <c r="B57" s="67" t="s">
        <v>73</v>
      </c>
      <c r="C57" s="32">
        <f>+'Input data'!C12</f>
        <v>23.835270000000001</v>
      </c>
      <c r="D57" s="32">
        <f>+C57+D58</f>
        <v>22.482045858028972</v>
      </c>
      <c r="E57" s="32">
        <f>+D57+E58</f>
        <v>22.884294685123706</v>
      </c>
      <c r="F57" s="32">
        <f>+E57+F58</f>
        <v>24.494983925203403</v>
      </c>
      <c r="G57" s="32">
        <f>+F57+G58</f>
        <v>22.747717675958448</v>
      </c>
      <c r="H57" s="32">
        <f t="shared" ref="H57:S57" si="12">+G57+H58</f>
        <v>23.210824755394132</v>
      </c>
      <c r="I57" s="32">
        <f t="shared" si="12"/>
        <v>23.707527700089191</v>
      </c>
      <c r="J57" s="32">
        <f t="shared" si="12"/>
        <v>24.193634570990582</v>
      </c>
      <c r="K57" s="32">
        <f t="shared" si="12"/>
        <v>24.565835304154714</v>
      </c>
      <c r="L57" s="32">
        <f t="shared" si="12"/>
        <v>24.914868984061592</v>
      </c>
      <c r="M57" s="32">
        <f t="shared" si="12"/>
        <v>25.245044876904739</v>
      </c>
      <c r="N57" s="32">
        <f t="shared" si="12"/>
        <v>25.582018083434001</v>
      </c>
      <c r="O57" s="32">
        <f t="shared" si="12"/>
        <v>25.905980964820646</v>
      </c>
      <c r="P57" s="32">
        <f t="shared" si="12"/>
        <v>26.205284160174809</v>
      </c>
      <c r="Q57" s="32">
        <f t="shared" si="12"/>
        <v>26.461844323635308</v>
      </c>
      <c r="R57" s="32">
        <f t="shared" si="12"/>
        <v>26.678360226129069</v>
      </c>
      <c r="S57" s="32">
        <f t="shared" si="12"/>
        <v>26.846340786194009</v>
      </c>
      <c r="T57" s="32">
        <f>+S57+T58</f>
        <v>26.989702630169408</v>
      </c>
      <c r="U57" s="32">
        <f>+T57+U58</f>
        <v>27.128704615658933</v>
      </c>
      <c r="V57" s="32">
        <f t="shared" ref="V57" si="13">+U57+V58</f>
        <v>27.269039068920513</v>
      </c>
      <c r="W57" s="32">
        <f t="shared" ref="W57" si="14">+V57+W58</f>
        <v>27.443892200613394</v>
      </c>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row>
    <row r="58" spans="2:48" outlineLevel="1" x14ac:dyDescent="0.2">
      <c r="B58" s="68" t="s">
        <v>74</v>
      </c>
      <c r="C58" s="33"/>
      <c r="D58" s="33">
        <f>-D59+D67+D72</f>
        <v>-1.3532241419710298</v>
      </c>
      <c r="E58" s="33">
        <f>-E59+E67+E72</f>
        <v>0.40224882709473497</v>
      </c>
      <c r="F58" s="33">
        <f>-F59+F67+F72</f>
        <v>1.6106892400796977</v>
      </c>
      <c r="G58" s="33">
        <f>-G59+G67+G72</f>
        <v>-1.7472662492449555</v>
      </c>
      <c r="H58" s="33">
        <f t="shared" ref="H58:S58" si="15">-H59+H67+H72</f>
        <v>0.46310707943568225</v>
      </c>
      <c r="I58" s="33">
        <f t="shared" si="15"/>
        <v>0.49670294469506016</v>
      </c>
      <c r="J58" s="33">
        <f t="shared" si="15"/>
        <v>0.48610687090139304</v>
      </c>
      <c r="K58" s="33">
        <f t="shared" si="15"/>
        <v>0.37220073316413183</v>
      </c>
      <c r="L58" s="33">
        <f t="shared" si="15"/>
        <v>0.34903367990687845</v>
      </c>
      <c r="M58" s="33">
        <f t="shared" si="15"/>
        <v>0.33017589284314885</v>
      </c>
      <c r="N58" s="33">
        <f t="shared" si="15"/>
        <v>0.33697320652926066</v>
      </c>
      <c r="O58" s="33">
        <f t="shared" si="15"/>
        <v>0.32396288138664664</v>
      </c>
      <c r="P58" s="33">
        <f t="shared" si="15"/>
        <v>0.29930319535416183</v>
      </c>
      <c r="Q58" s="33">
        <f t="shared" si="15"/>
        <v>0.25656016346049848</v>
      </c>
      <c r="R58" s="33">
        <f t="shared" si="15"/>
        <v>0.21651590249376107</v>
      </c>
      <c r="S58" s="33">
        <f t="shared" si="15"/>
        <v>0.16798056006493978</v>
      </c>
      <c r="T58" s="33">
        <f>-T59+T67+T72</f>
        <v>0.1433618439753982</v>
      </c>
      <c r="U58" s="33">
        <f t="shared" ref="U58:W58" si="16">-U59+U67+U72</f>
        <v>0.13900198548952369</v>
      </c>
      <c r="V58" s="33">
        <f t="shared" si="16"/>
        <v>0.14033445326158023</v>
      </c>
      <c r="W58" s="33">
        <f t="shared" si="16"/>
        <v>0.17485313169288241</v>
      </c>
    </row>
    <row r="59" spans="2:48" outlineLevel="1" x14ac:dyDescent="0.2">
      <c r="B59" s="64" t="s">
        <v>75</v>
      </c>
      <c r="C59" s="34"/>
      <c r="D59" s="34">
        <f>D60+D61-D62-D63-D64-D65-D66</f>
        <v>-2.4978640580289704</v>
      </c>
      <c r="E59" s="34">
        <f t="shared" ref="E59:R59" si="17">E60+E61-E62-E63-E64-E65-E66</f>
        <v>-1.508917127094735</v>
      </c>
      <c r="F59" s="34">
        <f t="shared" si="17"/>
        <v>-2.0392726400796977</v>
      </c>
      <c r="G59" s="34">
        <f t="shared" si="17"/>
        <v>-1.74585350712903</v>
      </c>
      <c r="H59" s="34">
        <f t="shared" si="17"/>
        <v>-1.2689692606817682</v>
      </c>
      <c r="I59" s="34">
        <f t="shared" si="17"/>
        <v>-0.96330919319566777</v>
      </c>
      <c r="J59" s="34">
        <f t="shared" si="17"/>
        <v>-0.92321586848651449</v>
      </c>
      <c r="K59" s="34">
        <f t="shared" si="17"/>
        <v>-0.75748791232434209</v>
      </c>
      <c r="L59" s="34">
        <f t="shared" si="17"/>
        <v>-0.65098995616217259</v>
      </c>
      <c r="M59" s="34">
        <f t="shared" si="17"/>
        <v>-0.55077100000000356</v>
      </c>
      <c r="N59" s="34">
        <f t="shared" si="17"/>
        <v>-0.47225529289489521</v>
      </c>
      <c r="O59" s="34">
        <f t="shared" si="17"/>
        <v>-0.38604870649555678</v>
      </c>
      <c r="P59" s="34">
        <f t="shared" si="17"/>
        <v>-0.30719329307401089</v>
      </c>
      <c r="Q59" s="34">
        <f t="shared" si="17"/>
        <v>-0.23058541316111658</v>
      </c>
      <c r="R59" s="34">
        <f t="shared" si="17"/>
        <v>-0.16078087975803201</v>
      </c>
      <c r="S59" s="34">
        <f>S60+S61-S62-S63-S64-S65-S66</f>
        <v>-8.6213706420244285E-2</v>
      </c>
      <c r="T59" s="34">
        <f>T60+T61-T62-T63-T64-T65-T66</f>
        <v>-1.9487706420239004E-2</v>
      </c>
      <c r="U59" s="34">
        <f>U60+U61-U62-U63-U64-U65-U66</f>
        <v>2.1579881104285104E-2</v>
      </c>
      <c r="V59" s="34">
        <f t="shared" ref="V59:W59" si="18">V60+V61-V62-V63-V64-V65-V66</f>
        <v>5.0966468950707777E-2</v>
      </c>
      <c r="W59" s="34">
        <f t="shared" si="18"/>
        <v>4.332364521209997E-2</v>
      </c>
    </row>
    <row r="60" spans="2:48" outlineLevel="1" x14ac:dyDescent="0.2">
      <c r="B60" s="63" t="s">
        <v>76</v>
      </c>
      <c r="C60" s="1"/>
      <c r="D60" s="1">
        <f>D12</f>
        <v>-3.0163250000000001</v>
      </c>
      <c r="E60" s="1">
        <f>E12</f>
        <v>-1.7785709999999999</v>
      </c>
      <c r="F60" s="1">
        <f>F12</f>
        <v>-2.0899299999999998</v>
      </c>
      <c r="G60" s="1">
        <f t="shared" ref="G60:W60" si="19">IF(G12="",F60,G12)</f>
        <v>-1.6899299999999999</v>
      </c>
      <c r="H60" s="1">
        <f t="shared" si="19"/>
        <v>-1.28993</v>
      </c>
      <c r="I60" s="1">
        <f t="shared" si="19"/>
        <v>-0.88993</v>
      </c>
      <c r="J60" s="1">
        <f t="shared" si="19"/>
        <v>-0.86992999999999998</v>
      </c>
      <c r="K60" s="1">
        <f t="shared" si="19"/>
        <v>-0.86992999999999998</v>
      </c>
      <c r="L60" s="1">
        <f t="shared" si="19"/>
        <v>-0.86992999999999998</v>
      </c>
      <c r="M60" s="1">
        <f t="shared" si="19"/>
        <v>-0.86992999999999998</v>
      </c>
      <c r="N60" s="1">
        <f t="shared" si="19"/>
        <v>-0.86992999999999998</v>
      </c>
      <c r="O60" s="1">
        <f t="shared" si="19"/>
        <v>-0.86992999999999998</v>
      </c>
      <c r="P60" s="1">
        <f t="shared" si="19"/>
        <v>-0.86992999999999998</v>
      </c>
      <c r="Q60" s="1">
        <f t="shared" si="19"/>
        <v>-0.86992999999999998</v>
      </c>
      <c r="R60" s="1">
        <f t="shared" si="19"/>
        <v>-0.86992999999999998</v>
      </c>
      <c r="S60" s="1">
        <f t="shared" si="19"/>
        <v>-0.86992999999999998</v>
      </c>
      <c r="T60" s="1">
        <f t="shared" si="19"/>
        <v>-0.86992999999999998</v>
      </c>
      <c r="U60" s="1">
        <f t="shared" si="19"/>
        <v>-0.86992999999999998</v>
      </c>
      <c r="V60" s="1">
        <f t="shared" si="19"/>
        <v>-0.86992999999999998</v>
      </c>
      <c r="W60" s="1">
        <f t="shared" si="19"/>
        <v>-0.86992999999999998</v>
      </c>
    </row>
    <row r="61" spans="2:48" outlineLevel="1" x14ac:dyDescent="0.2">
      <c r="B61" s="63" t="s">
        <v>77</v>
      </c>
      <c r="C61" s="1"/>
      <c r="D61" s="1">
        <v>0</v>
      </c>
      <c r="E61" s="1">
        <v>0</v>
      </c>
      <c r="F61" s="1">
        <v>0</v>
      </c>
      <c r="G61" s="1">
        <v>0</v>
      </c>
      <c r="H61" s="1">
        <v>0</v>
      </c>
      <c r="I61" s="1">
        <v>0</v>
      </c>
      <c r="J61" s="1">
        <v>0</v>
      </c>
      <c r="K61" s="1">
        <v>0</v>
      </c>
      <c r="L61" s="1">
        <v>0</v>
      </c>
      <c r="M61" s="1">
        <v>0</v>
      </c>
      <c r="N61" s="1">
        <v>0</v>
      </c>
      <c r="O61" s="1">
        <v>0</v>
      </c>
      <c r="P61" s="1">
        <v>0</v>
      </c>
      <c r="Q61" s="1">
        <v>0</v>
      </c>
      <c r="R61" s="1">
        <v>0</v>
      </c>
      <c r="S61" s="1">
        <v>0</v>
      </c>
      <c r="T61" s="1">
        <v>0</v>
      </c>
      <c r="U61" s="1">
        <v>0</v>
      </c>
      <c r="V61" s="1">
        <v>0</v>
      </c>
      <c r="W61" s="1">
        <v>0</v>
      </c>
    </row>
    <row r="62" spans="2:48" outlineLevel="1" x14ac:dyDescent="0.2">
      <c r="B62" s="63" t="s">
        <v>78</v>
      </c>
      <c r="C62" s="1"/>
      <c r="D62" s="1">
        <f t="shared" ref="D62:W62" si="20">-$C$48*D30</f>
        <v>-0.51846094197102965</v>
      </c>
      <c r="E62" s="1">
        <f t="shared" si="20"/>
        <v>-0.26965387290526494</v>
      </c>
      <c r="F62" s="1">
        <f t="shared" si="20"/>
        <v>-5.0657359920302E-2</v>
      </c>
      <c r="G62" s="1">
        <f t="shared" si="20"/>
        <v>5.5923507129030069E-2</v>
      </c>
      <c r="H62" s="1">
        <f t="shared" si="20"/>
        <v>-2.0960739318231791E-2</v>
      </c>
      <c r="I62" s="1">
        <f t="shared" si="20"/>
        <v>7.3379193195667811E-2</v>
      </c>
      <c r="J62" s="1">
        <f t="shared" si="20"/>
        <v>5.3285868486514551E-2</v>
      </c>
      <c r="K62" s="1">
        <f t="shared" si="20"/>
        <v>3.5523912324341933E-2</v>
      </c>
      <c r="L62" s="1">
        <f t="shared" si="20"/>
        <v>1.7761956162172621E-2</v>
      </c>
      <c r="M62" s="1">
        <f>-$C$48*M30</f>
        <v>0</v>
      </c>
      <c r="N62" s="1">
        <f t="shared" si="20"/>
        <v>2.9289489171802076E-7</v>
      </c>
      <c r="O62" s="1">
        <f t="shared" si="20"/>
        <v>-2.9350444323839043E-7</v>
      </c>
      <c r="P62" s="1">
        <f t="shared" si="20"/>
        <v>2.9307400868372467E-7</v>
      </c>
      <c r="Q62" s="1">
        <f t="shared" si="20"/>
        <v>-5.8683888433108671E-7</v>
      </c>
      <c r="R62" s="1">
        <f t="shared" si="20"/>
        <v>8.7975803040318814E-7</v>
      </c>
      <c r="S62" s="1">
        <f t="shared" si="20"/>
        <v>-2.9357975712684946E-7</v>
      </c>
      <c r="T62" s="1">
        <f t="shared" si="20"/>
        <v>-2.9357976374377868E-7</v>
      </c>
      <c r="U62" s="1">
        <f>-$C$48*U30</f>
        <v>-8.8110428766441371E-7</v>
      </c>
      <c r="V62" s="1">
        <f t="shared" si="20"/>
        <v>-1.4689507119580725E-6</v>
      </c>
      <c r="W62" s="1">
        <f t="shared" si="20"/>
        <v>-2.6452121003384121E-6</v>
      </c>
    </row>
    <row r="63" spans="2:48" outlineLevel="1" x14ac:dyDescent="0.2">
      <c r="B63" s="63" t="s">
        <v>79</v>
      </c>
      <c r="C63" s="1"/>
      <c r="D63" s="1">
        <f t="shared" ref="D63:W63" si="21">-D14</f>
        <v>0</v>
      </c>
      <c r="E63" s="1">
        <f t="shared" si="21"/>
        <v>0</v>
      </c>
      <c r="F63" s="1">
        <f t="shared" si="21"/>
        <v>0</v>
      </c>
      <c r="G63" s="1">
        <f t="shared" si="21"/>
        <v>0</v>
      </c>
      <c r="H63" s="1">
        <f t="shared" si="21"/>
        <v>0</v>
      </c>
      <c r="I63" s="1">
        <f t="shared" si="21"/>
        <v>0</v>
      </c>
      <c r="J63" s="1">
        <f t="shared" si="21"/>
        <v>0</v>
      </c>
      <c r="K63" s="1">
        <f t="shared" si="21"/>
        <v>0</v>
      </c>
      <c r="L63" s="1">
        <f t="shared" si="21"/>
        <v>0</v>
      </c>
      <c r="M63" s="1">
        <f t="shared" si="21"/>
        <v>0</v>
      </c>
      <c r="N63" s="1">
        <f t="shared" si="21"/>
        <v>0</v>
      </c>
      <c r="O63" s="1">
        <f t="shared" si="21"/>
        <v>0</v>
      </c>
      <c r="P63" s="1">
        <f t="shared" si="21"/>
        <v>0</v>
      </c>
      <c r="Q63" s="1">
        <f t="shared" si="21"/>
        <v>0</v>
      </c>
      <c r="R63" s="1">
        <f t="shared" si="21"/>
        <v>0</v>
      </c>
      <c r="S63" s="1">
        <f t="shared" si="21"/>
        <v>0</v>
      </c>
      <c r="T63" s="1">
        <f t="shared" si="21"/>
        <v>0</v>
      </c>
      <c r="U63" s="1">
        <f t="shared" si="21"/>
        <v>0</v>
      </c>
      <c r="V63" s="1">
        <f t="shared" si="21"/>
        <v>0</v>
      </c>
      <c r="W63" s="1">
        <f t="shared" si="21"/>
        <v>0</v>
      </c>
    </row>
    <row r="64" spans="2:48" outlineLevel="1" x14ac:dyDescent="0.2">
      <c r="B64" s="63" t="s">
        <v>80</v>
      </c>
      <c r="C64" s="1"/>
      <c r="D64" s="1">
        <f>IF(D$56&lt;=$C$6,0,HLOOKUP(D$56,'Input data'!$C$9:$BB$26,12,FALSE)-HLOOKUP($C$6,'Input data'!$C$9:$BB$26,12,FALSE))</f>
        <v>0</v>
      </c>
      <c r="E64" s="1">
        <f>IF(E$56&lt;=$C$6,0,HLOOKUP(E$56,'Input data'!$C$9:$BB$26,12,FALSE)-HLOOKUP($C$6,'Input data'!$C$9:$BB$26,12,FALSE))</f>
        <v>0</v>
      </c>
      <c r="F64" s="1">
        <f>IF(F$56&lt;=$C$6,0,HLOOKUP(F$56,'Input data'!$C$9:$BB$26,12,FALSE)-HLOOKUP($C$6,'Input data'!$C$9:$BB$26,12,FALSE))</f>
        <v>0</v>
      </c>
      <c r="G64" s="1">
        <f>IF(G$56&lt;=$C$6,0,HLOOKUP(G$56,'Input data'!$C$9:$BB$26,12,FALSE)-HLOOKUP($C$6,'Input data'!$C$9:$BB$26,12,FALSE))</f>
        <v>0</v>
      </c>
      <c r="H64" s="1">
        <f>IF(H$56&lt;=$C$6,0,HLOOKUP(H$56,'Input data'!$C$9:$BB$26,12,FALSE)-HLOOKUP($C$6,'Input data'!$C$9:$BB$26,12,FALSE))</f>
        <v>0</v>
      </c>
      <c r="I64" s="1">
        <f>IF(I$56&lt;=$C$6,0,HLOOKUP(I$56,'Input data'!$C$9:$BB$26,12,FALSE)-HLOOKUP($C$6,'Input data'!$C$9:$BB$26,12,FALSE))</f>
        <v>0</v>
      </c>
      <c r="J64" s="1">
        <f>IF(J$56&lt;=$C$6,0,HLOOKUP(J$56,'Input data'!$C$9:$BB$26,12,FALSE)-HLOOKUP($C$6,'Input data'!$C$9:$BB$26,12,FALSE))</f>
        <v>0</v>
      </c>
      <c r="K64" s="1">
        <f>IF(K$56&lt;=$C$6,0,HLOOKUP(K$56,'Input data'!$C$9:$BB$26,12,FALSE)-HLOOKUP($C$6,'Input data'!$C$9:$BB$26,12,FALSE))</f>
        <v>-0.15559999999999974</v>
      </c>
      <c r="L64" s="1">
        <f>IF(L$56&lt;=$C$6,0,HLOOKUP(L$56,'Input data'!$C$9:$BB$26,12,FALSE)-HLOOKUP($C$6,'Input data'!$C$9:$BB$26,12,FALSE))</f>
        <v>-0.25197000000000003</v>
      </c>
      <c r="M64" s="1">
        <f>IF(M$56&lt;=$C$6,0,HLOOKUP(M$56,'Input data'!$C$9:$BB$26,12,FALSE)-HLOOKUP($C$6,'Input data'!$C$9:$BB$26,12,FALSE))</f>
        <v>-0.34205999999999648</v>
      </c>
      <c r="N64" s="1">
        <f>IF(N$56&lt;=$C$6,0,HLOOKUP(N$56,'Input data'!$C$9:$BB$26,12,FALSE)-HLOOKUP($C$6,'Input data'!$C$9:$BB$26,12,FALSE))</f>
        <v>-0.42820999999999643</v>
      </c>
      <c r="O64" s="1">
        <f>IF(O$56&lt;=$C$6,0,HLOOKUP(O$56,'Input data'!$C$9:$BB$26,12,FALSE)-HLOOKUP($C$6,'Input data'!$C$9:$BB$26,12,FALSE))</f>
        <v>-0.52205000000000013</v>
      </c>
      <c r="P64" s="1">
        <f>IF(P$56&lt;=$C$6,0,HLOOKUP(P$56,'Input data'!$C$9:$BB$26,12,FALSE)-HLOOKUP($C$6,'Input data'!$C$9:$BB$26,12,FALSE))</f>
        <v>-0.60853999999999786</v>
      </c>
      <c r="Q64" s="1">
        <f>IF(Q$56&lt;=$C$6,0,HLOOKUP(Q$56,'Input data'!$C$9:$BB$26,12,FALSE)-HLOOKUP($C$6,'Input data'!$C$9:$BB$26,12,FALSE))</f>
        <v>-0.69277999999999906</v>
      </c>
      <c r="R64" s="1">
        <f>IF(R$56&lt;=$C$6,0,HLOOKUP(R$56,'Input data'!$C$9:$BB$26,12,FALSE)-HLOOKUP($C$6,'Input data'!$C$9:$BB$26,12,FALSE))</f>
        <v>-0.77021999999999835</v>
      </c>
      <c r="S64" s="1">
        <f>IF(S$56&lt;=$C$6,0,HLOOKUP(S$56,'Input data'!$C$9:$BB$26,12,FALSE)-HLOOKUP($C$6,'Input data'!$C$9:$BB$26,12,FALSE))</f>
        <v>-0.85241999999999862</v>
      </c>
      <c r="T64" s="1">
        <f>IF(T$56&lt;=$C$6,0,HLOOKUP(T$56,'Input data'!$C$9:$BB$26,12,FALSE)-HLOOKUP($C$6,'Input data'!$C$9:$BB$26,12,FALSE))</f>
        <v>-0.92677999999999727</v>
      </c>
      <c r="U64" s="1">
        <f>IF(U$56&lt;=$C$6,0,HLOOKUP(U$56,'Input data'!$C$9:$BB$26,12,FALSE)-HLOOKUP($C$6,'Input data'!$C$9:$BB$26,12,FALSE))</f>
        <v>-0.97547999999999746</v>
      </c>
      <c r="V64" s="1">
        <f>IF(V$56&lt;=$C$6,0,HLOOKUP(V$56,'Input data'!$C$9:$BB$26,12,FALSE)-HLOOKUP($C$6,'Input data'!$C$9:$BB$26,12,FALSE))</f>
        <v>-1.0124999999999957</v>
      </c>
      <c r="W64" s="1">
        <f>IF(W$56&lt;=$C$6,0,HLOOKUP(W$56,'Input data'!$C$9:$BB$26,12,FALSE)-HLOOKUP($C$6,'Input data'!$C$9:$BB$26,12,FALSE))</f>
        <v>-1.0124899999999997</v>
      </c>
    </row>
    <row r="65" spans="2:23" outlineLevel="1" x14ac:dyDescent="0.2">
      <c r="B65" s="63" t="s">
        <v>81</v>
      </c>
      <c r="C65" s="1"/>
      <c r="D65" s="1">
        <f>IF(D$56&lt;=$C$5,0,-HLOOKUP(D$56,'Input data'!$C$9:$BB$26,18,FALSE)+HLOOKUP($C$6,'Input data'!$C$9:$BB$26,18,FALSE))</f>
        <v>0</v>
      </c>
      <c r="E65" s="1">
        <f>IF(E$56&lt;=$C$5,0,-HLOOKUP(E$56,'Input data'!$C$9:$BB$26,18,FALSE)+HLOOKUP($C$6,'Input data'!$C$9:$BB$26,18,FALSE))</f>
        <v>0</v>
      </c>
      <c r="F65" s="1">
        <f>IF(F$56&lt;=$C$5,0,-HLOOKUP(F$56,'Input data'!$C$9:$BB$26,18,FALSE)+HLOOKUP($C$6,'Input data'!$C$9:$BB$26,18,FALSE))</f>
        <v>0</v>
      </c>
      <c r="G65" s="1">
        <f>IF(G$56&lt;=$C$6,0,-HLOOKUP(G$56,'Input data'!$C$9:$BB$26,18,FALSE)+HLOOKUP($C$6,'Input data'!$C$9:$BB$26,18,FALSE))</f>
        <v>0</v>
      </c>
      <c r="H65" s="1">
        <f>IF(H$56&lt;=$C$6,0,-HLOOKUP(H$56,'Input data'!$C$9:$BB$26,18,FALSE)+HLOOKUP($C$6,'Input data'!$C$9:$BB$26,18,FALSE))</f>
        <v>0</v>
      </c>
      <c r="I65" s="1">
        <f>IF(I$56&lt;=$C$6,0,-HLOOKUP(I$56,'Input data'!$C$9:$BB$26,18,FALSE)+HLOOKUP($C$6,'Input data'!$C$9:$BB$26,18,FALSE))</f>
        <v>0</v>
      </c>
      <c r="J65" s="1">
        <f>IF(J$56&lt;=$C$6,0,-HLOOKUP(J$56,'Input data'!$C$9:$BB$26,18,FALSE)+HLOOKUP($C$6,'Input data'!$C$9:$BB$26,18,FALSE))</f>
        <v>0</v>
      </c>
      <c r="K65" s="1">
        <f>IF(K$56&lt;=$C$6,0,-HLOOKUP(K$56,'Input data'!$C$9:$BB$26,18,FALSE)+HLOOKUP($C$6,'Input data'!$C$9:$BB$26,18,FALSE))</f>
        <v>7.6339999999999186E-3</v>
      </c>
      <c r="L65" s="1">
        <f>IF(L$56&lt;=$C$6,0,-HLOOKUP(L$56,'Input data'!$C$9:$BB$26,18,FALSE)+HLOOKUP($C$6,'Input data'!$C$9:$BB$26,18,FALSE))</f>
        <v>1.5268000000000059E-2</v>
      </c>
      <c r="M65" s="1">
        <f>IF(M$56&lt;=$C$6,0,-HLOOKUP(M$56,'Input data'!$C$9:$BB$26,18,FALSE)+HLOOKUP($C$6,'Input data'!$C$9:$BB$26,18,FALSE))</f>
        <v>2.290100000000006E-2</v>
      </c>
      <c r="N65" s="1">
        <f>IF(N$56&lt;=$C$6,0,-HLOOKUP(N$56,'Input data'!$C$9:$BB$26,18,FALSE)+HLOOKUP($C$6,'Input data'!$C$9:$BB$26,18,FALSE))</f>
        <v>3.0534999999999979E-2</v>
      </c>
      <c r="O65" s="1">
        <f>IF(O$56&lt;=$C$6,0,-HLOOKUP(O$56,'Input data'!$C$9:$BB$26,18,FALSE)+HLOOKUP($C$6,'Input data'!$C$9:$BB$26,18,FALSE))</f>
        <v>3.8169000000000119E-2</v>
      </c>
      <c r="P65" s="1">
        <f>IF(P$56&lt;=$C$6,0,-HLOOKUP(P$56,'Input data'!$C$9:$BB$26,18,FALSE)+HLOOKUP($C$6,'Input data'!$C$9:$BB$26,18,FALSE))</f>
        <v>4.5803000000000038E-2</v>
      </c>
      <c r="Q65" s="1">
        <f>IF(Q$56&lt;=$C$6,0,-HLOOKUP(Q$56,'Input data'!$C$9:$BB$26,18,FALSE)+HLOOKUP($C$6,'Input data'!$C$9:$BB$26,18,FALSE))</f>
        <v>5.3436000000000039E-2</v>
      </c>
      <c r="R65" s="1">
        <f>IF(R$56&lt;=$C$6,0,-HLOOKUP(R$56,'Input data'!$C$9:$BB$26,18,FALSE)+HLOOKUP($C$6,'Input data'!$C$9:$BB$26,18,FALSE))</f>
        <v>6.1069999999999958E-2</v>
      </c>
      <c r="S65" s="1">
        <f>IF(S$56&lt;=$C$6,0,-HLOOKUP(S$56,'Input data'!$C$9:$BB$26,18,FALSE)+HLOOKUP($C$6,'Input data'!$C$9:$BB$26,18,FALSE))</f>
        <v>6.8704000000000098E-2</v>
      </c>
      <c r="T65" s="1">
        <f>IF(T$56&lt;=$C$6,0,-HLOOKUP(T$56,'Input data'!$C$9:$BB$26,18,FALSE)+HLOOKUP($C$6,'Input data'!$C$9:$BB$26,18,FALSE))</f>
        <v>7.6338000000000017E-2</v>
      </c>
      <c r="U65" s="188">
        <f>IF(U$56&lt;=$C$6,0,-HLOOKUP(U$56,'Input data'!$C$9:$BB$26,18,FALSE)+HLOOKUP($C$6,'Input data'!$C$9:$BB$26,18,FALSE))</f>
        <v>8.3971000000000018E-2</v>
      </c>
      <c r="V65" s="188">
        <f>IF(V$56&lt;=$C$6,0,-HLOOKUP(V$56,'Input data'!$C$9:$BB$26,18,FALSE)+HLOOKUP($C$6,'Input data'!$C$9:$BB$26,18,FALSE))</f>
        <v>9.1604999999999936E-2</v>
      </c>
      <c r="W65" s="188">
        <f>IF(W$56&lt;=$C$6,0,-HLOOKUP(W$56,'Input data'!$C$9:$BB$26,18,FALSE)+HLOOKUP($C$6,'Input data'!$C$9:$BB$26,18,FALSE))</f>
        <v>9.9239000000000077E-2</v>
      </c>
    </row>
    <row r="66" spans="2:23" outlineLevel="1" x14ac:dyDescent="0.2">
      <c r="B66" s="63" t="s">
        <v>82</v>
      </c>
      <c r="C66" s="26"/>
      <c r="D66" s="26">
        <v>0</v>
      </c>
      <c r="E66" s="26">
        <v>0</v>
      </c>
      <c r="F66" s="26">
        <v>0</v>
      </c>
      <c r="G66" s="26">
        <v>0</v>
      </c>
      <c r="H66" s="26">
        <v>0</v>
      </c>
      <c r="I66" s="26">
        <v>0</v>
      </c>
      <c r="J66" s="26">
        <v>0</v>
      </c>
      <c r="K66" s="26">
        <v>0</v>
      </c>
      <c r="L66" s="26">
        <v>0</v>
      </c>
      <c r="M66" s="26">
        <v>0</v>
      </c>
      <c r="N66" s="26">
        <v>0</v>
      </c>
      <c r="O66" s="26">
        <v>0</v>
      </c>
      <c r="P66" s="26">
        <v>0</v>
      </c>
      <c r="Q66" s="26">
        <v>0</v>
      </c>
      <c r="R66" s="26">
        <v>0</v>
      </c>
      <c r="S66" s="26">
        <v>0</v>
      </c>
      <c r="T66" s="26">
        <v>0</v>
      </c>
      <c r="U66" s="189">
        <v>0</v>
      </c>
      <c r="V66" s="189">
        <v>0</v>
      </c>
      <c r="W66" s="189">
        <v>0</v>
      </c>
    </row>
    <row r="67" spans="2:23" outlineLevel="1" x14ac:dyDescent="0.2">
      <c r="B67" s="64" t="s">
        <v>83</v>
      </c>
      <c r="C67" s="34"/>
      <c r="D67" s="34">
        <f t="shared" ref="D67:O67" si="22">SUM(D68:D71)</f>
        <v>-3.6847240000000001</v>
      </c>
      <c r="E67" s="34">
        <f t="shared" si="22"/>
        <v>-1.554413</v>
      </c>
      <c r="F67" s="34">
        <f t="shared" si="22"/>
        <v>-0.96644189999999996</v>
      </c>
      <c r="G67" s="34">
        <f t="shared" si="22"/>
        <v>-0.53352075637398577</v>
      </c>
      <c r="H67" s="34">
        <f t="shared" si="22"/>
        <v>-0.65592428124608593</v>
      </c>
      <c r="I67" s="34">
        <f t="shared" si="22"/>
        <v>-0.46660624850060761</v>
      </c>
      <c r="J67" s="34">
        <f t="shared" si="22"/>
        <v>-0.43710899758512145</v>
      </c>
      <c r="K67" s="34">
        <f t="shared" si="22"/>
        <v>-0.38528717916021027</v>
      </c>
      <c r="L67" s="34">
        <f t="shared" si="22"/>
        <v>-0.30195627625529414</v>
      </c>
      <c r="M67" s="34">
        <f t="shared" si="22"/>
        <v>-0.22059510715685471</v>
      </c>
      <c r="N67" s="34">
        <f t="shared" si="22"/>
        <v>-0.13528208636563455</v>
      </c>
      <c r="O67" s="34">
        <f t="shared" si="22"/>
        <v>-6.2085825108910142E-2</v>
      </c>
      <c r="P67" s="34">
        <f t="shared" ref="P67:T67" si="23">SUM(P68:P71)</f>
        <v>-7.8900977198490541E-3</v>
      </c>
      <c r="Q67" s="34">
        <f t="shared" si="23"/>
        <v>2.5974750299381899E-2</v>
      </c>
      <c r="R67" s="34">
        <f t="shared" si="23"/>
        <v>5.5735022735729056E-2</v>
      </c>
      <c r="S67" s="34">
        <f t="shared" si="23"/>
        <v>8.1766853644695492E-2</v>
      </c>
      <c r="T67" s="34">
        <f t="shared" si="23"/>
        <v>0.12387413755515919</v>
      </c>
      <c r="U67" s="34">
        <f t="shared" ref="U67:W67" si="24">SUM(U68:U71)</f>
        <v>0.1605818665938088</v>
      </c>
      <c r="V67" s="34">
        <f t="shared" si="24"/>
        <v>0.191300922212288</v>
      </c>
      <c r="W67" s="34">
        <f t="shared" si="24"/>
        <v>0.21817677690498238</v>
      </c>
    </row>
    <row r="68" spans="2:23" outlineLevel="1" x14ac:dyDescent="0.2">
      <c r="B68" s="63" t="s">
        <v>84</v>
      </c>
      <c r="C68" s="23"/>
      <c r="D68" s="23">
        <f t="shared" ref="D68:E68" si="25">C57*D36/100*(1/(1+D33/100))</f>
        <v>0.38643365390291995</v>
      </c>
      <c r="E68" s="23">
        <f t="shared" si="25"/>
        <v>0.49348790772771806</v>
      </c>
      <c r="F68" s="23">
        <f>E57*F36/100*(1/(1+F33/100))</f>
        <v>0.59226754090926192</v>
      </c>
      <c r="G68" s="23">
        <f>F57*G36/100*(1/(1+G33/100))</f>
        <v>0.58431975430853578</v>
      </c>
      <c r="H68" s="23">
        <f t="shared" ref="H68:W68" si="26">G57*H36/100*(1/(1+H33/100))</f>
        <v>0.53874029226951037</v>
      </c>
      <c r="I68" s="23">
        <f t="shared" si="26"/>
        <v>0.60913003935562782</v>
      </c>
      <c r="J68" s="23">
        <f>I57*J36/100*(1/(1+J33/100))</f>
        <v>0.67198523968317891</v>
      </c>
      <c r="K68" s="23">
        <f t="shared" si="26"/>
        <v>0.7331472502664087</v>
      </c>
      <c r="L68" s="23">
        <f>K57*L36/100*(1/(1+L33/100))</f>
        <v>0.78854859670727184</v>
      </c>
      <c r="M68" s="23">
        <f t="shared" si="26"/>
        <v>0.84104943765780793</v>
      </c>
      <c r="N68" s="23">
        <f t="shared" si="26"/>
        <v>0.89136501671118296</v>
      </c>
      <c r="O68" s="23">
        <f t="shared" si="26"/>
        <v>0.94032768960882329</v>
      </c>
      <c r="P68" s="23">
        <f t="shared" si="26"/>
        <v>0.98703992570956101</v>
      </c>
      <c r="Q68" s="23">
        <f t="shared" si="26"/>
        <v>1.0267962210503159</v>
      </c>
      <c r="R68" s="23">
        <f t="shared" si="26"/>
        <v>1.060691330207534</v>
      </c>
      <c r="S68" s="23">
        <f t="shared" si="26"/>
        <v>1.0892381685233747</v>
      </c>
      <c r="T68" s="23">
        <f t="shared" si="26"/>
        <v>1.1131964686532967</v>
      </c>
      <c r="U68" s="23">
        <f t="shared" si="26"/>
        <v>1.1330324134940999</v>
      </c>
      <c r="V68" s="23">
        <f t="shared" si="26"/>
        <v>1.1499540880172483</v>
      </c>
      <c r="W68" s="23">
        <f t="shared" si="26"/>
        <v>1.1645639247741009</v>
      </c>
    </row>
    <row r="69" spans="2:23" outlineLevel="1" x14ac:dyDescent="0.2">
      <c r="B69" s="63" t="s">
        <v>85</v>
      </c>
      <c r="C69" s="23"/>
      <c r="D69" s="23">
        <f t="shared" ref="D69:W69" si="27">-C57*(D24/100)*(1/(1+D33/100))</f>
        <v>-0.7982198457532661</v>
      </c>
      <c r="E69" s="23">
        <f t="shared" si="27"/>
        <v>-0.38555692979930867</v>
      </c>
      <c r="F69" s="23">
        <f t="shared" si="27"/>
        <v>-0.51428878253048549</v>
      </c>
      <c r="G69" s="23">
        <f t="shared" si="27"/>
        <v>-0.56293060783120441</v>
      </c>
      <c r="H69" s="23">
        <f t="shared" si="27"/>
        <v>-0.58293413135110461</v>
      </c>
      <c r="I69" s="23">
        <f t="shared" si="27"/>
        <v>-0.46291853417474305</v>
      </c>
      <c r="J69" s="23">
        <f t="shared" si="27"/>
        <v>-0.49478388412736207</v>
      </c>
      <c r="K69" s="23">
        <f t="shared" si="27"/>
        <v>-0.50339976642297846</v>
      </c>
      <c r="L69" s="23">
        <f t="shared" si="27"/>
        <v>-0.47807486559955298</v>
      </c>
      <c r="M69" s="23">
        <f t="shared" si="27"/>
        <v>-0.45276335666275613</v>
      </c>
      <c r="N69" s="23">
        <f t="shared" si="27"/>
        <v>-0.42212207170224603</v>
      </c>
      <c r="O69" s="23">
        <f t="shared" si="27"/>
        <v>-0.40242293930807316</v>
      </c>
      <c r="P69" s="23">
        <f t="shared" si="27"/>
        <v>-0.40011756356298589</v>
      </c>
      <c r="Q69" s="23">
        <f t="shared" si="27"/>
        <v>-0.4035153822296163</v>
      </c>
      <c r="R69" s="23">
        <f t="shared" si="27"/>
        <v>-0.40622523569136482</v>
      </c>
      <c r="S69" s="23">
        <f t="shared" si="27"/>
        <v>-0.40830190585566767</v>
      </c>
      <c r="T69" s="23">
        <f t="shared" si="27"/>
        <v>-0.39087046374848616</v>
      </c>
      <c r="U69" s="23">
        <f t="shared" si="27"/>
        <v>-0.3753186344127391</v>
      </c>
      <c r="V69" s="23">
        <f t="shared" si="27"/>
        <v>-0.36298646462490952</v>
      </c>
      <c r="W69" s="23">
        <f t="shared" si="27"/>
        <v>-0.35220471627272376</v>
      </c>
    </row>
    <row r="70" spans="2:23" outlineLevel="1" x14ac:dyDescent="0.2">
      <c r="B70" s="63" t="s">
        <v>86</v>
      </c>
      <c r="C70" s="23"/>
      <c r="D70" s="23">
        <f t="shared" ref="D70:W70" si="28">-C57*D42/100*(1/(1+D42/100))</f>
        <v>-3.2731501975701005</v>
      </c>
      <c r="E70" s="23">
        <f t="shared" si="28"/>
        <v>-1.6622916483957075</v>
      </c>
      <c r="F70" s="23">
        <f t="shared" si="28"/>
        <v>-1.0444070154428231</v>
      </c>
      <c r="G70" s="23">
        <f t="shared" si="28"/>
        <v>-0.55491499730323357</v>
      </c>
      <c r="H70" s="23">
        <f t="shared" si="28"/>
        <v>-0.61173044216449168</v>
      </c>
      <c r="I70" s="23">
        <f t="shared" si="28"/>
        <v>-0.61281775368149238</v>
      </c>
      <c r="J70" s="23">
        <f t="shared" si="28"/>
        <v>-0.61431035314093829</v>
      </c>
      <c r="K70" s="23">
        <f t="shared" si="28"/>
        <v>-0.61503466300364051</v>
      </c>
      <c r="L70" s="23">
        <f t="shared" si="28"/>
        <v>-0.61243000736301301</v>
      </c>
      <c r="M70" s="23">
        <f t="shared" si="28"/>
        <v>-0.60888118815190651</v>
      </c>
      <c r="N70" s="23">
        <f t="shared" si="28"/>
        <v>-0.60452503137457148</v>
      </c>
      <c r="O70" s="23">
        <f t="shared" si="28"/>
        <v>-0.59999057540966028</v>
      </c>
      <c r="P70" s="23">
        <f t="shared" si="28"/>
        <v>-0.59481245986642417</v>
      </c>
      <c r="Q70" s="23">
        <f t="shared" si="28"/>
        <v>-0.59730608852131772</v>
      </c>
      <c r="R70" s="23">
        <f t="shared" si="28"/>
        <v>-0.59873107178044016</v>
      </c>
      <c r="S70" s="23">
        <f t="shared" si="28"/>
        <v>-0.59916940902301163</v>
      </c>
      <c r="T70" s="23">
        <f t="shared" si="28"/>
        <v>-0.59845186734965139</v>
      </c>
      <c r="U70" s="23">
        <f t="shared" si="28"/>
        <v>-0.59713191248755204</v>
      </c>
      <c r="V70" s="23">
        <f t="shared" si="28"/>
        <v>-0.59566670118005083</v>
      </c>
      <c r="W70" s="23">
        <f t="shared" si="28"/>
        <v>-0.59418243159639472</v>
      </c>
    </row>
    <row r="71" spans="2:23" outlineLevel="1" x14ac:dyDescent="0.2">
      <c r="B71" s="63" t="s">
        <v>87</v>
      </c>
      <c r="C71" s="35"/>
      <c r="D71" s="35">
        <f>'Baseline NFPC'!D70</f>
        <v>2.1238942044643494E-4</v>
      </c>
      <c r="E71" s="35">
        <f>'Baseline NFPC'!E70</f>
        <v>-5.2329532701955728E-5</v>
      </c>
      <c r="F71" s="35">
        <f>'Baseline NFPC'!F70</f>
        <v>-1.3642935953295243E-5</v>
      </c>
      <c r="G71" s="35">
        <f>'Baseline NFPC'!G70</f>
        <v>5.0944519164319857E-6</v>
      </c>
      <c r="H71" s="35">
        <v>0</v>
      </c>
      <c r="I71" s="35">
        <v>0</v>
      </c>
      <c r="J71" s="35">
        <v>0</v>
      </c>
      <c r="K71" s="35">
        <v>0</v>
      </c>
      <c r="L71" s="35">
        <v>0</v>
      </c>
      <c r="M71" s="35">
        <v>0</v>
      </c>
      <c r="N71" s="35">
        <v>0</v>
      </c>
      <c r="O71" s="35">
        <v>0</v>
      </c>
      <c r="P71" s="35">
        <v>0</v>
      </c>
      <c r="Q71" s="35">
        <v>0</v>
      </c>
      <c r="R71" s="35">
        <v>0</v>
      </c>
      <c r="S71" s="35">
        <v>0</v>
      </c>
      <c r="T71" s="35">
        <v>0</v>
      </c>
      <c r="U71" s="35">
        <v>0</v>
      </c>
      <c r="V71" s="35">
        <v>0</v>
      </c>
      <c r="W71" s="35">
        <v>0</v>
      </c>
    </row>
    <row r="72" spans="2:23" outlineLevel="1" x14ac:dyDescent="0.2">
      <c r="B72" s="64" t="s">
        <v>88</v>
      </c>
      <c r="C72" s="36"/>
      <c r="D72" s="36">
        <f>'Input data'!D16</f>
        <v>-0.16636419999999999</v>
      </c>
      <c r="E72" s="36">
        <f>'Input data'!E16</f>
        <v>0.4477447</v>
      </c>
      <c r="F72" s="36">
        <f>'Input data'!F16</f>
        <v>0.53785850000000002</v>
      </c>
      <c r="G72" s="36">
        <f>'Input data'!G16</f>
        <v>-2.9595989999999999</v>
      </c>
      <c r="H72" s="36">
        <f>'Input data'!H16</f>
        <v>-0.14993790000000001</v>
      </c>
      <c r="I72" s="36">
        <f>'Input data'!I16</f>
        <v>0</v>
      </c>
      <c r="J72" s="36">
        <f>'Input data'!J16</f>
        <v>0</v>
      </c>
      <c r="K72" s="36">
        <f>'Input data'!K16</f>
        <v>0</v>
      </c>
      <c r="L72" s="36">
        <f>'Input data'!L16</f>
        <v>0</v>
      </c>
      <c r="M72" s="36">
        <f>'Input data'!M16</f>
        <v>0</v>
      </c>
      <c r="N72" s="36">
        <f>'Input data'!N16</f>
        <v>0</v>
      </c>
      <c r="O72" s="36">
        <f>'Input data'!O16</f>
        <v>0</v>
      </c>
      <c r="P72" s="36">
        <f>'Input data'!P16</f>
        <v>0</v>
      </c>
      <c r="Q72" s="36">
        <f>'Input data'!Q16</f>
        <v>0</v>
      </c>
      <c r="R72" s="36">
        <f>'Input data'!R16</f>
        <v>0</v>
      </c>
      <c r="S72" s="36">
        <f>'Input data'!S16</f>
        <v>0</v>
      </c>
      <c r="T72" s="36">
        <f>'Input data'!T16</f>
        <v>0</v>
      </c>
      <c r="U72" s="36">
        <f>'Input data'!U16</f>
        <v>0</v>
      </c>
      <c r="V72" s="36">
        <f>'Input data'!V16</f>
        <v>0</v>
      </c>
      <c r="W72" s="36">
        <f>'Input data'!W16</f>
        <v>0</v>
      </c>
    </row>
    <row r="73" spans="2:23" outlineLevel="1" x14ac:dyDescent="0.2">
      <c r="B73" s="63" t="s">
        <v>89</v>
      </c>
      <c r="C73" s="23"/>
      <c r="D73" s="23">
        <f t="shared" ref="D73:W73" si="29">D15</f>
        <v>-0.1772164</v>
      </c>
      <c r="E73" s="23">
        <f t="shared" si="29"/>
        <v>0.44991419999999999</v>
      </c>
      <c r="F73" s="23">
        <f t="shared" si="29"/>
        <v>0.53834850000000001</v>
      </c>
      <c r="G73" s="23">
        <f t="shared" si="29"/>
        <v>-2.9597929999999999</v>
      </c>
      <c r="H73" s="23">
        <f t="shared" si="29"/>
        <v>-0.14993809999999999</v>
      </c>
      <c r="I73" s="23">
        <f t="shared" si="29"/>
        <v>0</v>
      </c>
      <c r="J73" s="23">
        <f t="shared" si="29"/>
        <v>0</v>
      </c>
      <c r="K73" s="23">
        <f t="shared" si="29"/>
        <v>0</v>
      </c>
      <c r="L73" s="23">
        <f t="shared" si="29"/>
        <v>0</v>
      </c>
      <c r="M73" s="23">
        <f t="shared" si="29"/>
        <v>0</v>
      </c>
      <c r="N73" s="23">
        <f t="shared" si="29"/>
        <v>0</v>
      </c>
      <c r="O73" s="23">
        <f t="shared" si="29"/>
        <v>0</v>
      </c>
      <c r="P73" s="23">
        <f t="shared" si="29"/>
        <v>0</v>
      </c>
      <c r="Q73" s="23">
        <f t="shared" si="29"/>
        <v>0</v>
      </c>
      <c r="R73" s="23">
        <f t="shared" si="29"/>
        <v>0</v>
      </c>
      <c r="S73" s="23">
        <f t="shared" si="29"/>
        <v>0</v>
      </c>
      <c r="T73" s="23">
        <f t="shared" si="29"/>
        <v>0</v>
      </c>
      <c r="U73" s="23">
        <f t="shared" si="29"/>
        <v>0</v>
      </c>
      <c r="V73" s="23">
        <f t="shared" si="29"/>
        <v>0</v>
      </c>
      <c r="W73" s="23">
        <f t="shared" si="29"/>
        <v>0</v>
      </c>
    </row>
    <row r="74" spans="2:23" outlineLevel="1" x14ac:dyDescent="0.2">
      <c r="B74" s="69" t="s">
        <v>90</v>
      </c>
      <c r="C74" s="35"/>
      <c r="D74" s="35">
        <f>+D72-D73</f>
        <v>1.0852200000000006E-2</v>
      </c>
      <c r="E74" s="35">
        <f t="shared" ref="E74:T74" si="30">+E72-E73</f>
        <v>-2.1694999999999909E-3</v>
      </c>
      <c r="F74" s="35">
        <f t="shared" si="30"/>
        <v>-4.8999999999999044E-4</v>
      </c>
      <c r="G74" s="35">
        <f t="shared" si="30"/>
        <v>1.9400000000002748E-4</v>
      </c>
      <c r="H74" s="35">
        <f t="shared" si="30"/>
        <v>1.9999999997799556E-7</v>
      </c>
      <c r="I74" s="35">
        <f t="shared" si="30"/>
        <v>0</v>
      </c>
      <c r="J74" s="35">
        <f t="shared" si="30"/>
        <v>0</v>
      </c>
      <c r="K74" s="35">
        <f t="shared" si="30"/>
        <v>0</v>
      </c>
      <c r="L74" s="35">
        <f t="shared" si="30"/>
        <v>0</v>
      </c>
      <c r="M74" s="35">
        <f t="shared" si="30"/>
        <v>0</v>
      </c>
      <c r="N74" s="35">
        <f t="shared" si="30"/>
        <v>0</v>
      </c>
      <c r="O74" s="35">
        <f t="shared" si="30"/>
        <v>0</v>
      </c>
      <c r="P74" s="35">
        <f t="shared" si="30"/>
        <v>0</v>
      </c>
      <c r="Q74" s="35">
        <f t="shared" si="30"/>
        <v>0</v>
      </c>
      <c r="R74" s="35">
        <f t="shared" si="30"/>
        <v>0</v>
      </c>
      <c r="S74" s="35">
        <f t="shared" si="30"/>
        <v>0</v>
      </c>
      <c r="T74" s="35">
        <f t="shared" si="30"/>
        <v>0</v>
      </c>
      <c r="U74" s="35">
        <f t="shared" ref="U74:W74" si="31">+U72-U73</f>
        <v>0</v>
      </c>
      <c r="V74" s="35">
        <f t="shared" si="31"/>
        <v>0</v>
      </c>
      <c r="W74" s="35">
        <f t="shared" si="31"/>
        <v>0</v>
      </c>
    </row>
    <row r="75" spans="2:23" ht="10.5" customHeight="1" outlineLevel="1" x14ac:dyDescent="0.2"/>
    <row r="76" spans="2:23" ht="10.5" customHeight="1" outlineLevel="1" x14ac:dyDescent="0.2">
      <c r="B76" s="70" t="s">
        <v>91</v>
      </c>
    </row>
    <row r="77" spans="2:23" x14ac:dyDescent="0.2">
      <c r="B77" s="61" t="s">
        <v>19</v>
      </c>
      <c r="C77" s="61"/>
      <c r="D77" s="62">
        <f>D59-D68</f>
        <v>-2.8842977119318904</v>
      </c>
      <c r="E77" s="62">
        <f t="shared" ref="E77:T77" si="32">E59-E68</f>
        <v>-2.0024050348224529</v>
      </c>
      <c r="F77" s="62">
        <f t="shared" si="32"/>
        <v>-2.6315401809889596</v>
      </c>
      <c r="G77" s="62">
        <f>G59-G68</f>
        <v>-2.3301732614375656</v>
      </c>
      <c r="H77" s="62">
        <f t="shared" si="32"/>
        <v>-1.8077095529512786</v>
      </c>
      <c r="I77" s="62">
        <f t="shared" si="32"/>
        <v>-1.5724392325512957</v>
      </c>
      <c r="J77" s="62">
        <f t="shared" si="32"/>
        <v>-1.5952011081696935</v>
      </c>
      <c r="K77" s="62">
        <f t="shared" si="32"/>
        <v>-1.4906351625907508</v>
      </c>
      <c r="L77" s="62">
        <f t="shared" si="32"/>
        <v>-1.4395385528694444</v>
      </c>
      <c r="M77" s="62">
        <f t="shared" si="32"/>
        <v>-1.3918204376578114</v>
      </c>
      <c r="N77" s="62">
        <f t="shared" si="32"/>
        <v>-1.3636203096060782</v>
      </c>
      <c r="O77" s="62">
        <f t="shared" si="32"/>
        <v>-1.3263763961043802</v>
      </c>
      <c r="P77" s="62">
        <f t="shared" si="32"/>
        <v>-1.2942332187835719</v>
      </c>
      <c r="Q77" s="62">
        <f t="shared" si="32"/>
        <v>-1.2573816342114323</v>
      </c>
      <c r="R77" s="62">
        <f t="shared" si="32"/>
        <v>-1.2214722099655662</v>
      </c>
      <c r="S77" s="62">
        <f t="shared" si="32"/>
        <v>-1.1754518749436191</v>
      </c>
      <c r="T77" s="62">
        <f t="shared" si="32"/>
        <v>-1.1326841750735357</v>
      </c>
      <c r="U77" s="62">
        <f t="shared" ref="U77:W77" si="33">U59-U68</f>
        <v>-1.1114525323898148</v>
      </c>
      <c r="V77" s="62">
        <f t="shared" si="33"/>
        <v>-1.0989876190665404</v>
      </c>
      <c r="W77" s="62">
        <f t="shared" si="33"/>
        <v>-1.1212402795620009</v>
      </c>
    </row>
    <row r="78" spans="2:23" x14ac:dyDescent="0.2">
      <c r="B78" s="15" t="s">
        <v>20</v>
      </c>
      <c r="D78" s="23">
        <f>D60-D68-D64-D65-D66</f>
        <v>-3.4027586539029202</v>
      </c>
      <c r="E78" s="23">
        <f t="shared" ref="E78:W78" si="34">E60-E68-E64-E65-E66</f>
        <v>-2.2720589077277178</v>
      </c>
      <c r="F78" s="23">
        <f t="shared" si="34"/>
        <v>-2.6821975409092618</v>
      </c>
      <c r="G78" s="23">
        <f t="shared" si="34"/>
        <v>-2.2742497543085358</v>
      </c>
      <c r="H78" s="23">
        <f t="shared" si="34"/>
        <v>-1.8286702922695104</v>
      </c>
      <c r="I78" s="23">
        <f t="shared" si="34"/>
        <v>-1.4990600393556277</v>
      </c>
      <c r="J78" s="23">
        <f t="shared" si="34"/>
        <v>-1.541915239683179</v>
      </c>
      <c r="K78" s="23">
        <f t="shared" si="34"/>
        <v>-1.455111250266409</v>
      </c>
      <c r="L78" s="23">
        <f t="shared" si="34"/>
        <v>-1.4217765967072717</v>
      </c>
      <c r="M78" s="23">
        <f t="shared" si="34"/>
        <v>-1.3918204376578114</v>
      </c>
      <c r="N78" s="23">
        <f t="shared" si="34"/>
        <v>-1.3636200167111865</v>
      </c>
      <c r="O78" s="23">
        <f t="shared" si="34"/>
        <v>-1.3263766896088234</v>
      </c>
      <c r="P78" s="23">
        <f t="shared" si="34"/>
        <v>-1.2942329257095631</v>
      </c>
      <c r="Q78" s="23">
        <f t="shared" si="34"/>
        <v>-1.2573822210503169</v>
      </c>
      <c r="R78" s="23">
        <f t="shared" si="34"/>
        <v>-1.2214713302075357</v>
      </c>
      <c r="S78" s="23">
        <f t="shared" si="34"/>
        <v>-1.1754521685233763</v>
      </c>
      <c r="T78" s="23">
        <f t="shared" si="34"/>
        <v>-1.1326844686532993</v>
      </c>
      <c r="U78" s="23">
        <f t="shared" si="34"/>
        <v>-1.1114534134941025</v>
      </c>
      <c r="V78" s="23">
        <f t="shared" si="34"/>
        <v>-1.0989890880172526</v>
      </c>
      <c r="W78" s="23">
        <f t="shared" si="34"/>
        <v>-1.1212429247741011</v>
      </c>
    </row>
    <row r="79" spans="2:23" x14ac:dyDescent="0.2">
      <c r="B79" s="24" t="s">
        <v>92</v>
      </c>
      <c r="C79" s="24"/>
      <c r="D79" s="238">
        <f>'Input data'!D45</f>
        <v>23.717846088438755</v>
      </c>
      <c r="E79" s="238">
        <f>'Input data'!E45</f>
        <v>5.7865656435119543</v>
      </c>
      <c r="F79" s="238">
        <f>'Input data'!F45</f>
        <v>7.9106854146593948</v>
      </c>
      <c r="G79" s="35">
        <f>'Input data'!G33+G42-(G$12-F$12)/'Input data'!$C$64*100</f>
        <v>4.0896685986443861</v>
      </c>
      <c r="H79" s="35">
        <f>'Input data'!H33+H42-(H$12-G$12)/'Input data'!$C$64*100</f>
        <v>4.2001065986443855</v>
      </c>
      <c r="I79" s="35">
        <f>'Input data'!I33+I42-(I$12-H$12)/'Input data'!$C$64*100</f>
        <v>4.1238917236443848</v>
      </c>
      <c r="J79" s="35">
        <f>'Input data'!J33+J42-(J$12-I$12)/'Input data'!$C$64*100</f>
        <v>4.7304042799322188</v>
      </c>
      <c r="K79" s="35">
        <f>'Input data'!K33+K42-(K$12-J$12)/'Input data'!$C$64*100</f>
        <v>4.7290293749999996</v>
      </c>
      <c r="L79" s="35">
        <f>'Input data'!L33+L42-(L$12-K$12)/'Input data'!$C$64*100</f>
        <v>4.5324004999999996</v>
      </c>
      <c r="M79" s="35">
        <f>'Input data'!M33+M42-(M$12-L$12)/'Input data'!$C$64*100</f>
        <v>4.3424536250000001</v>
      </c>
      <c r="N79" s="35">
        <f>'Input data'!N33+N42-(N$12-M$12)/'Input data'!$C$64*100</f>
        <v>4.1963597500000001</v>
      </c>
      <c r="O79" s="35">
        <f>'Input data'!O33+O42-(O$12-N$12)/'Input data'!$C$64*100</f>
        <v>4.0389098749999999</v>
      </c>
      <c r="P79" s="35">
        <f>'Input data'!P33+P42-(P$12-O$12)/'Input data'!$C$64*100</f>
        <v>3.9561869999999999</v>
      </c>
      <c r="Q79" s="35">
        <f>'Input data'!Q33+Q42-(Q$12-P$12)/'Input data'!$C$64*100</f>
        <v>3.933465</v>
      </c>
      <c r="R79" s="35">
        <f>'Input data'!R33+R42-(R$12-Q$12)/'Input data'!$C$64*100</f>
        <v>3.9107430000000001</v>
      </c>
      <c r="S79" s="35">
        <f>'Input data'!S33+S42-(S$12-R$12)/'Input data'!$C$64*100</f>
        <v>3.8880210000000002</v>
      </c>
      <c r="T79" s="35">
        <f>'Input data'!T33+T42-(T$12-S$12)/'Input data'!$C$64*100</f>
        <v>3.7916610000000004</v>
      </c>
      <c r="U79" s="35">
        <f>'Input data'!U33+U42-(U$12-T$12)/'Input data'!$C$64*100</f>
        <v>3.7050740000000002</v>
      </c>
      <c r="V79" s="35">
        <f>'Input data'!V33+V42-(V$12-U$12)/'Input data'!$C$64*100</f>
        <v>3.632028</v>
      </c>
      <c r="W79" s="35">
        <f>'Input data'!W33+W42-(W$12-V$12)/'Input data'!$C$64*100</f>
        <v>3.5655250000000001</v>
      </c>
    </row>
    <row r="80" spans="2:23" x14ac:dyDescent="0.2">
      <c r="D80" s="23"/>
      <c r="E80" s="23"/>
      <c r="F80" s="337"/>
      <c r="G80" s="337"/>
      <c r="H80" s="337"/>
      <c r="I80" s="337"/>
      <c r="J80" s="337"/>
      <c r="K80" s="337"/>
      <c r="L80" s="337"/>
      <c r="M80" s="337"/>
      <c r="N80" s="23"/>
      <c r="O80" s="23"/>
      <c r="P80" s="23"/>
      <c r="Q80" s="23"/>
      <c r="R80" s="23"/>
      <c r="S80" s="23"/>
      <c r="T80" s="23"/>
      <c r="U80" s="23"/>
      <c r="V80" s="23"/>
      <c r="W80" s="23"/>
    </row>
    <row r="81" spans="2:23" x14ac:dyDescent="0.2">
      <c r="B81" s="89" t="s">
        <v>112</v>
      </c>
      <c r="C81" s="37"/>
      <c r="D81" s="153">
        <f ca="1">AVERAGE(OFFSET($G$79,0,0,1,'Criteria results'!F5))</f>
        <v>4.286017800216344</v>
      </c>
      <c r="E81" s="23"/>
      <c r="F81" s="23"/>
      <c r="G81" s="304"/>
      <c r="H81" s="304"/>
      <c r="I81" s="304"/>
      <c r="J81" s="304"/>
      <c r="K81" s="304"/>
      <c r="L81" s="304"/>
      <c r="M81" s="304"/>
      <c r="N81" s="304"/>
      <c r="O81" s="304"/>
      <c r="P81" s="304"/>
      <c r="Q81" s="304"/>
      <c r="R81" s="304"/>
      <c r="S81" s="304"/>
      <c r="T81" s="304"/>
      <c r="U81" s="23"/>
      <c r="V81" s="23"/>
      <c r="W81" s="23"/>
    </row>
    <row r="82" spans="2:23" x14ac:dyDescent="0.2">
      <c r="B82" s="61"/>
      <c r="C82" s="61"/>
      <c r="D82" s="62"/>
      <c r="E82" s="23"/>
      <c r="F82" s="23"/>
      <c r="G82" s="23"/>
      <c r="H82" s="23"/>
      <c r="I82" s="23"/>
      <c r="J82" s="23"/>
      <c r="K82" s="23"/>
      <c r="L82" s="23"/>
      <c r="M82" s="23"/>
      <c r="N82" s="23"/>
      <c r="O82" s="23"/>
      <c r="P82" s="23"/>
      <c r="Q82" s="23"/>
      <c r="R82" s="23"/>
      <c r="S82" s="23"/>
      <c r="T82" s="23"/>
      <c r="U82" s="23"/>
      <c r="V82" s="23"/>
      <c r="W82" s="23"/>
    </row>
    <row r="83" spans="2:23" s="71" customFormat="1" ht="12.75" outlineLevel="1" x14ac:dyDescent="0.2">
      <c r="B83" s="72" t="s">
        <v>93</v>
      </c>
      <c r="C83" s="73"/>
      <c r="E83" s="74"/>
      <c r="F83" s="73"/>
    </row>
    <row r="84" spans="2:23" x14ac:dyDescent="0.2">
      <c r="C84" s="23"/>
      <c r="D84" s="23"/>
      <c r="E84" s="23"/>
      <c r="F84" s="23"/>
      <c r="G84" s="23"/>
      <c r="H84" s="23"/>
      <c r="I84" s="23"/>
      <c r="J84" s="23"/>
      <c r="K84" s="23"/>
      <c r="L84" s="23"/>
      <c r="M84" s="23"/>
      <c r="N84" s="23"/>
      <c r="O84" s="23"/>
      <c r="P84" s="23"/>
      <c r="Q84" s="23"/>
      <c r="R84" s="23"/>
      <c r="S84" s="23"/>
      <c r="T84" s="23"/>
      <c r="U84" s="23"/>
      <c r="V84" s="23"/>
      <c r="W84" s="23"/>
    </row>
    <row r="85" spans="2:23" x14ac:dyDescent="0.2">
      <c r="B85" s="15" t="s">
        <v>94</v>
      </c>
      <c r="D85" s="18"/>
      <c r="E85" s="18"/>
      <c r="F85" s="18">
        <f t="shared" ref="F85:W85" si="35">IF((F90-E90*F43/((1+F24/100)*(1+F42/100)))&gt;0,1,0)</f>
        <v>1</v>
      </c>
      <c r="G85" s="18">
        <f t="shared" si="35"/>
        <v>0</v>
      </c>
      <c r="H85" s="18">
        <f t="shared" si="35"/>
        <v>1</v>
      </c>
      <c r="I85" s="18">
        <f t="shared" si="35"/>
        <v>1</v>
      </c>
      <c r="J85" s="18">
        <f t="shared" si="35"/>
        <v>1</v>
      </c>
      <c r="K85" s="18">
        <f t="shared" si="35"/>
        <v>1</v>
      </c>
      <c r="L85" s="18">
        <f t="shared" si="35"/>
        <v>1</v>
      </c>
      <c r="M85" s="18">
        <f t="shared" si="35"/>
        <v>1</v>
      </c>
      <c r="N85" s="18">
        <f t="shared" si="35"/>
        <v>1</v>
      </c>
      <c r="O85" s="18">
        <f t="shared" si="35"/>
        <v>1</v>
      </c>
      <c r="P85" s="18">
        <f t="shared" si="35"/>
        <v>1</v>
      </c>
      <c r="Q85" s="18">
        <f t="shared" si="35"/>
        <v>1</v>
      </c>
      <c r="R85" s="18">
        <f t="shared" si="35"/>
        <v>1</v>
      </c>
      <c r="S85" s="18">
        <f t="shared" si="35"/>
        <v>1</v>
      </c>
      <c r="T85" s="18">
        <f t="shared" si="35"/>
        <v>1</v>
      </c>
      <c r="U85" s="18">
        <f t="shared" si="35"/>
        <v>1</v>
      </c>
      <c r="V85" s="18">
        <f t="shared" si="35"/>
        <v>1</v>
      </c>
      <c r="W85" s="18">
        <f t="shared" si="35"/>
        <v>1</v>
      </c>
    </row>
    <row r="86" spans="2:23" x14ac:dyDescent="0.2">
      <c r="B86" s="15" t="s">
        <v>95</v>
      </c>
      <c r="D86" s="18"/>
      <c r="E86" s="18"/>
      <c r="F86" s="18">
        <f t="shared" ref="F86:W86" si="36">IF(AND(F85=0,ABS(F90-E90*F43/((1+F24/100)*(1+F42/100)))&lt;((E96*E90*F43/((1+F24/100)*(1+F42/100))+(F39*E90*E97*F43/((1+F24/100)*(1+F42/100)))))),1,0)</f>
        <v>0</v>
      </c>
      <c r="G86" s="18">
        <f t="shared" si="36"/>
        <v>1</v>
      </c>
      <c r="H86" s="18">
        <f t="shared" si="36"/>
        <v>0</v>
      </c>
      <c r="I86" s="18">
        <f t="shared" si="36"/>
        <v>0</v>
      </c>
      <c r="J86" s="18">
        <f t="shared" si="36"/>
        <v>0</v>
      </c>
      <c r="K86" s="18">
        <f t="shared" si="36"/>
        <v>0</v>
      </c>
      <c r="L86" s="18">
        <f t="shared" si="36"/>
        <v>0</v>
      </c>
      <c r="M86" s="18">
        <f t="shared" si="36"/>
        <v>0</v>
      </c>
      <c r="N86" s="18">
        <f t="shared" si="36"/>
        <v>0</v>
      </c>
      <c r="O86" s="18">
        <f t="shared" si="36"/>
        <v>0</v>
      </c>
      <c r="P86" s="18">
        <f t="shared" si="36"/>
        <v>0</v>
      </c>
      <c r="Q86" s="18">
        <f t="shared" si="36"/>
        <v>0</v>
      </c>
      <c r="R86" s="18">
        <f t="shared" si="36"/>
        <v>0</v>
      </c>
      <c r="S86" s="18">
        <f t="shared" si="36"/>
        <v>0</v>
      </c>
      <c r="T86" s="18">
        <f t="shared" si="36"/>
        <v>0</v>
      </c>
      <c r="U86" s="18">
        <f t="shared" si="36"/>
        <v>0</v>
      </c>
      <c r="V86" s="18">
        <f t="shared" si="36"/>
        <v>0</v>
      </c>
      <c r="W86" s="18">
        <f t="shared" si="36"/>
        <v>0</v>
      </c>
    </row>
    <row r="88" spans="2:23" x14ac:dyDescent="0.2">
      <c r="H88" s="27"/>
      <c r="I88" s="27"/>
      <c r="J88" s="27"/>
      <c r="K88" s="27"/>
      <c r="L88" s="27"/>
      <c r="M88" s="27"/>
      <c r="N88" s="27"/>
      <c r="O88" s="27"/>
      <c r="P88" s="27"/>
      <c r="Q88" s="27"/>
      <c r="R88" s="27"/>
      <c r="S88" s="27"/>
      <c r="T88" s="27"/>
    </row>
    <row r="89" spans="2:23" x14ac:dyDescent="0.2">
      <c r="B89" s="37"/>
      <c r="C89" s="66">
        <v>2021</v>
      </c>
      <c r="D89" s="66">
        <v>2022</v>
      </c>
      <c r="E89" s="66">
        <v>2023</v>
      </c>
      <c r="F89" s="66">
        <v>2024</v>
      </c>
      <c r="G89" s="66">
        <v>2025</v>
      </c>
      <c r="H89" s="66">
        <v>2026</v>
      </c>
      <c r="I89" s="66">
        <v>2027</v>
      </c>
      <c r="J89" s="66">
        <v>2028</v>
      </c>
      <c r="K89" s="66">
        <v>2029</v>
      </c>
      <c r="L89" s="66">
        <v>2030</v>
      </c>
      <c r="M89" s="66">
        <v>2031</v>
      </c>
      <c r="N89" s="66">
        <v>2032</v>
      </c>
      <c r="O89" s="66">
        <v>2033</v>
      </c>
      <c r="P89" s="66">
        <v>2034</v>
      </c>
      <c r="Q89" s="66">
        <v>2035</v>
      </c>
      <c r="R89" s="66">
        <v>2036</v>
      </c>
      <c r="S89" s="66">
        <v>2037</v>
      </c>
      <c r="T89" s="66">
        <v>2038</v>
      </c>
      <c r="U89" s="66">
        <v>2039</v>
      </c>
      <c r="V89" s="66">
        <v>2040</v>
      </c>
      <c r="W89" s="66">
        <v>2041</v>
      </c>
    </row>
    <row r="90" spans="2:23" x14ac:dyDescent="0.2">
      <c r="B90" s="83" t="s">
        <v>73</v>
      </c>
      <c r="C90" s="87">
        <f>C57</f>
        <v>23.835270000000001</v>
      </c>
      <c r="D90" s="87">
        <f>D57</f>
        <v>22.482045858028972</v>
      </c>
      <c r="E90" s="87">
        <f>E57</f>
        <v>22.884294685123706</v>
      </c>
      <c r="F90" s="87">
        <f>F57</f>
        <v>24.494983925203403</v>
      </c>
      <c r="G90" s="87">
        <f>G57</f>
        <v>22.747717675958448</v>
      </c>
      <c r="H90" s="87">
        <f t="shared" ref="H90:W90" si="37">G90*(1+H104/100)*H43-H60-H61+H62+H63+H64+H65+H66+H73</f>
        <v>23.210824555394129</v>
      </c>
      <c r="I90" s="87">
        <f t="shared" si="37"/>
        <v>23.707527504109773</v>
      </c>
      <c r="J90" s="87">
        <f t="shared" si="37"/>
        <v>24.193634378624548</v>
      </c>
      <c r="K90" s="87">
        <f t="shared" si="37"/>
        <v>24.565835114852135</v>
      </c>
      <c r="L90" s="87">
        <f t="shared" si="37"/>
        <v>24.914868797085866</v>
      </c>
      <c r="M90" s="87">
        <f t="shared" si="37"/>
        <v>25.245044691584489</v>
      </c>
      <c r="N90" s="87">
        <f t="shared" si="37"/>
        <v>25.582017899106834</v>
      </c>
      <c r="O90" s="87">
        <f t="shared" si="37"/>
        <v>25.90598078094083</v>
      </c>
      <c r="P90" s="87">
        <f t="shared" si="37"/>
        <v>26.205283976350991</v>
      </c>
      <c r="Q90" s="87">
        <f t="shared" si="37"/>
        <v>26.461844139629289</v>
      </c>
      <c r="R90" s="87">
        <f t="shared" si="37"/>
        <v>26.678360041735491</v>
      </c>
      <c r="S90" s="87">
        <f t="shared" si="37"/>
        <v>26.846340601235283</v>
      </c>
      <c r="T90" s="87">
        <f t="shared" si="37"/>
        <v>26.989702444357249</v>
      </c>
      <c r="U90" s="87">
        <f t="shared" si="37"/>
        <v>27.128704428741244</v>
      </c>
      <c r="V90" s="87">
        <f t="shared" si="37"/>
        <v>27.269038880684747</v>
      </c>
      <c r="W90" s="87">
        <f t="shared" si="37"/>
        <v>27.443892010871579</v>
      </c>
    </row>
    <row r="91" spans="2:23" x14ac:dyDescent="0.2">
      <c r="B91" s="15" t="s">
        <v>96</v>
      </c>
      <c r="C91" s="23"/>
      <c r="D91" s="23"/>
      <c r="E91" s="180">
        <f>'Input data'!$C$66*E$90</f>
        <v>18.943053878229676</v>
      </c>
      <c r="F91" s="23">
        <f t="shared" ref="F91:W91" si="38">IF(F90=0,0,IF(F85=1,E90*F43/((1+F24/100)*(1+F42/100))-F92-F93,IF(AND(F85=0,F86=1),(1-E96-F39*E97)*E90*F43/((1+F24/100)*(1+F42/100)),F90)))</f>
        <v>19.606605386940984</v>
      </c>
      <c r="G91" s="23">
        <f t="shared" si="38"/>
        <v>21.543237897011267</v>
      </c>
      <c r="H91" s="23">
        <f t="shared" si="38"/>
        <v>19.914548083052058</v>
      </c>
      <c r="I91" s="23">
        <f t="shared" si="38"/>
        <v>20.501986461444556</v>
      </c>
      <c r="J91" s="23">
        <f t="shared" si="38"/>
        <v>20.982185412327048</v>
      </c>
      <c r="K91" s="23">
        <f t="shared" si="38"/>
        <v>21.477124560451553</v>
      </c>
      <c r="L91" s="23">
        <f t="shared" si="38"/>
        <v>21.903018883860767</v>
      </c>
      <c r="M91" s="23">
        <f t="shared" si="38"/>
        <v>22.310132213271878</v>
      </c>
      <c r="N91" s="23">
        <f t="shared" si="38"/>
        <v>22.707214648155595</v>
      </c>
      <c r="O91" s="23">
        <f t="shared" si="38"/>
        <v>23.102374305946373</v>
      </c>
      <c r="P91" s="23">
        <f t="shared" si="38"/>
        <v>23.471281637111751</v>
      </c>
      <c r="Q91" s="23">
        <f t="shared" si="38"/>
        <v>23.746481387906538</v>
      </c>
      <c r="R91" s="23">
        <f t="shared" si="38"/>
        <v>23.983146633972236</v>
      </c>
      <c r="S91" s="23">
        <f t="shared" si="38"/>
        <v>24.183686721265143</v>
      </c>
      <c r="T91" s="23">
        <f t="shared" si="38"/>
        <v>24.358047886581627</v>
      </c>
      <c r="U91" s="23">
        <f t="shared" si="38"/>
        <v>24.508083912464343</v>
      </c>
      <c r="V91" s="23">
        <f t="shared" si="38"/>
        <v>24.651165150328442</v>
      </c>
      <c r="W91" s="23">
        <f t="shared" si="38"/>
        <v>24.794097728403269</v>
      </c>
    </row>
    <row r="92" spans="2:23" x14ac:dyDescent="0.2">
      <c r="B92" s="82" t="s">
        <v>97</v>
      </c>
      <c r="C92" s="23"/>
      <c r="D92" s="23"/>
      <c r="E92" s="180">
        <f>'Input data'!$C$67*E$90</f>
        <v>1.4889803048403729</v>
      </c>
      <c r="F92" s="23">
        <f t="shared" ref="F92:W92" si="39">IF(F90=0,0,IF(F85=1,F39*E90*E97*F43/((1+F24/100)*(1+F42/100)),IF(AND(F85=0,F86=1),(F39*E90*E97*F43/((1+F24/100)*(1+F42/100)))*(1-ABS(F90-E90*F43/((1+F24/100)*(1+F42/100)))/((F39*E90*E97*F43/((1+F24/100)*(1+F42/100)))+(E96*E90*F43/((1+F24/100)*(1+F42/100))))),0)))</f>
        <v>1.7185051439948933</v>
      </c>
      <c r="G92" s="23">
        <f t="shared" si="39"/>
        <v>1.2006573086178434</v>
      </c>
      <c r="H92" s="23">
        <f t="shared" si="39"/>
        <v>1.6348832975475562</v>
      </c>
      <c r="I92" s="23">
        <f t="shared" si="39"/>
        <v>1.6266062187268389</v>
      </c>
      <c r="J92" s="23">
        <f t="shared" si="39"/>
        <v>1.607172307463095</v>
      </c>
      <c r="K92" s="23">
        <f t="shared" si="39"/>
        <v>1.5864921063265847</v>
      </c>
      <c r="L92" s="23">
        <f t="shared" si="39"/>
        <v>1.5585016012464565</v>
      </c>
      <c r="M92" s="23">
        <f t="shared" si="39"/>
        <v>1.5272190740669898</v>
      </c>
      <c r="N92" s="23">
        <f t="shared" si="39"/>
        <v>1.4933865243458886</v>
      </c>
      <c r="O92" s="23">
        <f t="shared" si="39"/>
        <v>1.4576102012370293</v>
      </c>
      <c r="P92" s="23">
        <f t="shared" si="39"/>
        <v>1.4184488133554181</v>
      </c>
      <c r="Q92" s="23">
        <f t="shared" si="39"/>
        <v>1.4350800636631706</v>
      </c>
      <c r="R92" s="23">
        <f t="shared" si="39"/>
        <v>1.4493825437166488</v>
      </c>
      <c r="S92" s="23">
        <f t="shared" si="39"/>
        <v>1.4615018584285071</v>
      </c>
      <c r="T92" s="23">
        <f t="shared" si="39"/>
        <v>1.47203909247743</v>
      </c>
      <c r="U92" s="23">
        <f t="shared" si="39"/>
        <v>1.4811062762028129</v>
      </c>
      <c r="V92" s="23">
        <f t="shared" si="39"/>
        <v>1.4897531586014654</v>
      </c>
      <c r="W92" s="23">
        <f t="shared" si="39"/>
        <v>1.4983910569870185</v>
      </c>
    </row>
    <row r="93" spans="2:23" x14ac:dyDescent="0.2">
      <c r="B93" s="82" t="s">
        <v>98</v>
      </c>
      <c r="C93" s="23"/>
      <c r="D93" s="23"/>
      <c r="E93" s="180">
        <f>'Input data'!$C$68*E$90</f>
        <v>0</v>
      </c>
      <c r="F93" s="23">
        <f t="shared" ref="F93:W93" si="40">IF(F90=0,0,IF(F85=1,(1-E97)*E90*F43/((1+F24/100)*(1+F42/100)),IF(AND(F85=0,F86=1),(E96*E90*F43/((1+F24/100)*(1+F42/100)))*(1-ABS(F90-E90*F43/((1+F24/100)*(1+F42/100)))/((F39*E90*E97*F43/((1+F24/100)*(1+F42/100)))+(E96*E90*F43/((1+F24/100)*(1+F42/100))))),0)))</f>
        <v>0</v>
      </c>
      <c r="G93" s="23">
        <f t="shared" si="40"/>
        <v>3.8224703293380986E-3</v>
      </c>
      <c r="H93" s="23">
        <f t="shared" si="40"/>
        <v>3.6217218432353904E-3</v>
      </c>
      <c r="I93" s="23">
        <f t="shared" si="40"/>
        <v>6.4955966357620387E-3</v>
      </c>
      <c r="J93" s="23">
        <f t="shared" si="40"/>
        <v>9.0755562197095997E-3</v>
      </c>
      <c r="K93" s="23">
        <f t="shared" si="40"/>
        <v>1.1583291312571643E-2</v>
      </c>
      <c r="L93" s="23">
        <f t="shared" si="40"/>
        <v>1.3809765185698904E-2</v>
      </c>
      <c r="M93" s="23">
        <f t="shared" si="40"/>
        <v>1.5872972899532916E-2</v>
      </c>
      <c r="N93" s="23">
        <f t="shared" si="40"/>
        <v>1.7796423542652304E-2</v>
      </c>
      <c r="O93" s="23">
        <f t="shared" si="40"/>
        <v>1.9619884428428498E-2</v>
      </c>
      <c r="P93" s="23">
        <f t="shared" si="40"/>
        <v>2.132031410622574E-2</v>
      </c>
      <c r="Q93" s="23">
        <f t="shared" si="40"/>
        <v>2.2901061050869094E-2</v>
      </c>
      <c r="R93" s="23">
        <f t="shared" si="40"/>
        <v>2.4358661456699033E-2</v>
      </c>
      <c r="S93" s="23">
        <f t="shared" si="40"/>
        <v>2.5700154126528627E-2</v>
      </c>
      <c r="T93" s="23">
        <f t="shared" si="40"/>
        <v>2.6931297894055132E-2</v>
      </c>
      <c r="U93" s="23">
        <f t="shared" si="40"/>
        <v>2.8061715484698248E-2</v>
      </c>
      <c r="V93" s="23">
        <f t="shared" si="40"/>
        <v>2.9132960611524806E-2</v>
      </c>
      <c r="W93" s="23">
        <f t="shared" si="40"/>
        <v>3.0162953958167794E-2</v>
      </c>
    </row>
    <row r="94" spans="2:23" x14ac:dyDescent="0.2">
      <c r="B94" s="82" t="s">
        <v>99</v>
      </c>
      <c r="C94" s="23"/>
      <c r="D94" s="23"/>
      <c r="E94" s="180">
        <f>'Input data'!$C$69*E$90</f>
        <v>2.4522645020544749</v>
      </c>
      <c r="F94" s="23">
        <f>IF(F90=0,0,IF(F85=1,'Input data'!$C$58*(F90-E90*F43/((1+F24/100)*(1+F42/100))),0))</f>
        <v>3.1637745578569554</v>
      </c>
      <c r="G94" s="23">
        <f>IF(G90=0,0,IF(G85=1,'Input data'!$C$58*(G90-F90*G43/((1+G24/100)*(1+G42/100))),0))</f>
        <v>0</v>
      </c>
      <c r="H94" s="23">
        <f>IF(H90=0,0,IF(H85=1,'Input data'!$C$58*(H90-G90*H43/((1+H24/100)*(1+H42/100))),0))</f>
        <v>1.654581900675802</v>
      </c>
      <c r="I94" s="23">
        <f>IF(I90=0,0,IF(I85=1,'Input data'!$C$58*(I90-H90*I43/((1+I24/100)*(1+I42/100))),0))</f>
        <v>1.5694138542292866</v>
      </c>
      <c r="J94" s="23">
        <f>IF(J90=0,0,IF(J85=1,'Input data'!$C$58*(J90-I90*J43/((1+J24/100)*(1+J42/100))),0))</f>
        <v>1.5921319356932642</v>
      </c>
      <c r="K94" s="23">
        <f>IF(K90=0,0,IF(K85=1,'Input data'!$C$58*(K90-J90*K43/((1+K24/100)*(1+K42/100))),0))</f>
        <v>1.4877671747198153</v>
      </c>
      <c r="L94" s="23">
        <f>IF(L90=0,0,IF(L85=1,'Input data'!$C$58*(L90-K90*L43/((1+L24/100)*(1+L42/100))),0))</f>
        <v>1.436768874628916</v>
      </c>
      <c r="M94" s="23">
        <f>IF(M90=0,0,IF(M85=1,'Input data'!$C$58*(M90-L90*M43/((1+M24/100)*(1+M42/100))),0))</f>
        <v>1.3891425688361769</v>
      </c>
      <c r="N94" s="23">
        <f>IF(N90=0,0,IF(N85=1,'Input data'!$C$58*(N90-M90*N43/((1+N24/100)*(1+N42/100))),0))</f>
        <v>1.3609966975996033</v>
      </c>
      <c r="O94" s="23">
        <f>IF(O90=0,0,IF(O85=1,'Input data'!$C$58*(O90-N90*O43/((1+O24/100)*(1+O42/100))),0))</f>
        <v>1.3238244411559299</v>
      </c>
      <c r="P94" s="23">
        <f>IF(P90=0,0,IF(P85=1,'Input data'!$C$58*(P90-O90*P43/((1+P24/100)*(1+P42/100))),0))</f>
        <v>1.2917431070781347</v>
      </c>
      <c r="Q94" s="23">
        <f>IF(Q90=0,0,IF(Q85=1,'Input data'!$C$58*(Q90-P90*Q43/((1+Q24/100)*(1+Q42/100))),0))</f>
        <v>1.2549624247583437</v>
      </c>
      <c r="R94" s="23">
        <f>IF(R90=0,0,IF(R85=1,'Input data'!$C$58*(R90-Q90*R43/((1+R24/100)*(1+R42/100))),0))</f>
        <v>1.2191220900721249</v>
      </c>
      <c r="S94" s="23">
        <f>IF(S90=0,0,IF(S85=1,'Input data'!$C$58*(S90-R90*S43/((1+S24/100)*(1+S42/100))),0))</f>
        <v>1.1731902980221955</v>
      </c>
      <c r="T94" s="23">
        <f>IF(T90=0,0,IF(T85=1,'Input data'!$C$58*(T90-S90*T43/((1+T24/100)*(1+T42/100))),0))</f>
        <v>1.1305048830660505</v>
      </c>
      <c r="U94" s="23">
        <f>IF(U90=0,0,IF(U85=1,'Input data'!$C$58*(U90-T90*U43/((1+U24/100)*(1+U42/100))),0))</f>
        <v>1.1093140899320821</v>
      </c>
      <c r="V94" s="23">
        <f>IF(V90=0,0,IF(V85=1,'Input data'!$C$58*(V90-U90*V43/((1+V24/100)*(1+V42/100))),0))</f>
        <v>1.0968731589794749</v>
      </c>
      <c r="W94" s="23">
        <f>IF(W90=0,0,IF(W85=1,'Input data'!$C$58*(W90-V90*W43/((1+W24/100)*(1+W42/100))),0))</f>
        <v>1.1190830052407137</v>
      </c>
    </row>
    <row r="95" spans="2:23" x14ac:dyDescent="0.2">
      <c r="B95" s="84" t="s">
        <v>100</v>
      </c>
      <c r="C95" s="35"/>
      <c r="D95" s="35"/>
      <c r="E95" s="181">
        <f>'Input data'!$C$70*E$90</f>
        <v>0</v>
      </c>
      <c r="F95" s="35">
        <f>IF(F90=0,0,IF(F85=1,'Input data'!$C$57*(F90-E90*F43/((1+F24/100)*(1+F42/100))),0))</f>
        <v>6.0988364105707196E-3</v>
      </c>
      <c r="G95" s="35">
        <f>IF(G90=0,0,IF(G85=1,'Input data'!$C$57*(G90-F90*G43/((1+G24/100)*(1+G42/100))),0))</f>
        <v>0</v>
      </c>
      <c r="H95" s="35">
        <f>IF(H90=0,0,IF(H85=1,'Input data'!$C$57*(H90-G90*H43/((1+H24/100)*(1+H42/100))),0))</f>
        <v>3.1895522754782635E-3</v>
      </c>
      <c r="I95" s="35">
        <f>IF(I90=0,0,IF(I85=1,'Input data'!$C$57*(I90-H90*I43/((1+I24/100)*(1+I42/100))),0))</f>
        <v>3.0253730733302347E-3</v>
      </c>
      <c r="J95" s="35">
        <f>IF(J90=0,0,IF(J85=1,'Input data'!$C$57*(J90-I90*J43/((1+J24/100)*(1+J42/100))),0))</f>
        <v>3.0691669214306726E-3</v>
      </c>
      <c r="K95" s="35">
        <f>IF(K90=0,0,IF(K85=1,'Input data'!$C$57*(K90-J90*K43/((1+K24/100)*(1+K42/100))),0))</f>
        <v>2.8679820416089804E-3</v>
      </c>
      <c r="L95" s="35">
        <f>IF(L90=0,0,IF(L85=1,'Input data'!$C$57*(L90-K90*L43/((1+L24/100)*(1+L42/100))),0))</f>
        <v>2.7696721640296275E-3</v>
      </c>
      <c r="M95" s="35">
        <f>IF(M90=0,0,IF(M85=1,'Input data'!$C$57*(M90-L90*M43/((1+M24/100)*(1+M42/100))),0))</f>
        <v>2.6778625099098713E-3</v>
      </c>
      <c r="N95" s="35">
        <f>IF(N90=0,0,IF(N85=1,'Input data'!$C$57*(N90-M90*N43/((1+N24/100)*(1+N42/100))),0))</f>
        <v>2.623605463092627E-3</v>
      </c>
      <c r="O95" s="35">
        <f>IF(O90=0,0,IF(O85=1,'Input data'!$C$57*(O90-N90*O43/((1+O24/100)*(1+O42/100))),0))</f>
        <v>2.5519481730689941E-3</v>
      </c>
      <c r="P95" s="35">
        <f>IF(P90=0,0,IF(P85=1,'Input data'!$C$57*(P90-O90*P43/((1+P24/100)*(1+P42/100))),0))</f>
        <v>2.4901046994600922E-3</v>
      </c>
      <c r="Q95" s="35">
        <f>IF(Q90=0,0,IF(Q85=1,'Input data'!$C$57*(Q90-P90*Q43/((1+Q24/100)*(1+Q42/100))),0))</f>
        <v>2.419202250364755E-3</v>
      </c>
      <c r="R95" s="35">
        <f>IF(R90=0,0,IF(R85=1,'Input data'!$C$57*(R90-Q90*R43/((1+R24/100)*(1+R42/100))),0))</f>
        <v>2.3501125177829824E-3</v>
      </c>
      <c r="S95" s="35">
        <f>IF(S90=0,0,IF(S85=1,'Input data'!$C$57*(S90-R90*S43/((1+S24/100)*(1+S42/100))),0))</f>
        <v>2.2615693929066566E-3</v>
      </c>
      <c r="T95" s="35">
        <f>IF(T90=0,0,IF(T85=1,'Input data'!$C$57*(T90-S90*T43/((1+T24/100)*(1+T42/100))),0))</f>
        <v>2.1792843380855579E-3</v>
      </c>
      <c r="U95" s="35">
        <f>IF(U90=0,0,IF(U85=1,'Input data'!$C$57*(U90-T90*U43/((1+U24/100)*(1+U42/100))),0))</f>
        <v>2.1384346573099905E-3</v>
      </c>
      <c r="V95" s="35">
        <f>IF(V90=0,0,IF(V85=1,'Input data'!$C$57*(V90-U90*V43/((1+V24/100)*(1+V42/100))),0))</f>
        <v>2.1144521638397375E-3</v>
      </c>
      <c r="W95" s="35">
        <f>IF(W90=0,0,IF(W85=1,'Input data'!$C$57*(W90-V90*W43/((1+W24/100)*(1+W42/100))),0))</f>
        <v>2.157266282410491E-3</v>
      </c>
    </row>
    <row r="96" spans="2:23" x14ac:dyDescent="0.2">
      <c r="B96" s="15" t="s">
        <v>51</v>
      </c>
      <c r="C96" s="25"/>
      <c r="D96" s="25"/>
      <c r="E96" s="185">
        <f>'Baseline NFPC'!E$93</f>
        <v>0</v>
      </c>
      <c r="F96" s="25">
        <f t="shared" ref="F96:G96" si="41">IF(F90&lt;&gt;0,(F93+F95)/(F91+F92+F93+F94+F95),0)</f>
        <v>2.4898307462433149E-4</v>
      </c>
      <c r="G96" s="25">
        <f t="shared" si="41"/>
        <v>1.6803753166753875E-4</v>
      </c>
      <c r="H96" s="25">
        <f t="shared" ref="H96:W96" si="42">IF(H90&lt;&gt;0,(H93+H95)/(H91+H92+H93+H94+H95),0)</f>
        <v>2.9345248388130762E-4</v>
      </c>
      <c r="I96" s="25">
        <f t="shared" si="42"/>
        <v>4.0160112468252051E-4</v>
      </c>
      <c r="J96" s="25">
        <f t="shared" si="42"/>
        <v>5.0198010563763521E-4</v>
      </c>
      <c r="K96" s="25">
        <f t="shared" si="42"/>
        <v>5.882671314293565E-4</v>
      </c>
      <c r="L96" s="25">
        <f t="shared" si="42"/>
        <v>6.6544349419442761E-4</v>
      </c>
      <c r="M96" s="25">
        <f t="shared" si="42"/>
        <v>7.3483076128705619E-4</v>
      </c>
      <c r="N96" s="25">
        <f t="shared" si="42"/>
        <v>7.9821807201760548E-4</v>
      </c>
      <c r="O96" s="25">
        <f t="shared" si="42"/>
        <v>8.5585767969879108E-4</v>
      </c>
      <c r="P96" s="25">
        <f t="shared" si="42"/>
        <v>9.0861136353926134E-4</v>
      </c>
      <c r="Q96" s="25">
        <f t="shared" si="42"/>
        <v>9.5685936201680641E-4</v>
      </c>
      <c r="R96" s="25">
        <f t="shared" si="42"/>
        <v>1.0011400225763106E-3</v>
      </c>
      <c r="S96" s="25">
        <f t="shared" si="42"/>
        <v>1.0415469256971537E-3</v>
      </c>
      <c r="T96" s="25">
        <f t="shared" si="42"/>
        <v>1.0785810733614388E-3</v>
      </c>
      <c r="U96" s="25">
        <f>IF(U90&lt;&gt;0,(U93+U95)/(U91+U92+U93+U94+U95),0)</f>
        <v>1.1132175597008229E-3</v>
      </c>
      <c r="V96" s="25">
        <f t="shared" si="42"/>
        <v>1.145893440252409E-3</v>
      </c>
      <c r="W96" s="23">
        <f t="shared" si="42"/>
        <v>1.1776835526016137E-3</v>
      </c>
    </row>
    <row r="97" spans="2:25" x14ac:dyDescent="0.2">
      <c r="B97" s="24" t="s">
        <v>52</v>
      </c>
      <c r="C97" s="85"/>
      <c r="D97" s="85"/>
      <c r="E97" s="186">
        <f>'Baseline NFPC'!E$94</f>
        <v>1</v>
      </c>
      <c r="F97" s="85">
        <f t="shared" ref="F97:G97" si="43">IF(F90&lt;&gt;0,(F91+F92+F94)/(F91+F92+F93+F94+F95),1)</f>
        <v>0.99975101692537571</v>
      </c>
      <c r="G97" s="85">
        <f t="shared" si="43"/>
        <v>0.99983196246833239</v>
      </c>
      <c r="H97" s="85">
        <f t="shared" ref="H97:W97" si="44">IF(H90&lt;&gt;0,(H91+H92+H94)/(H91+H92+H93+H94+H95),1)</f>
        <v>0.99970654751611865</v>
      </c>
      <c r="I97" s="85">
        <f t="shared" si="44"/>
        <v>0.99959839887531743</v>
      </c>
      <c r="J97" s="85">
        <f t="shared" si="44"/>
        <v>0.99949801989436238</v>
      </c>
      <c r="K97" s="85">
        <f t="shared" si="44"/>
        <v>0.99941173286857055</v>
      </c>
      <c r="L97" s="85">
        <f t="shared" si="44"/>
        <v>0.99933455650580572</v>
      </c>
      <c r="M97" s="85">
        <f t="shared" si="44"/>
        <v>0.999265169238713</v>
      </c>
      <c r="N97" s="85">
        <f t="shared" si="44"/>
        <v>0.99920178192798237</v>
      </c>
      <c r="O97" s="85">
        <f t="shared" si="44"/>
        <v>0.99914414232030124</v>
      </c>
      <c r="P97" s="85">
        <f t="shared" si="44"/>
        <v>0.99909138863646063</v>
      </c>
      <c r="Q97" s="85">
        <f t="shared" si="44"/>
        <v>0.99904314063798316</v>
      </c>
      <c r="R97" s="85">
        <f t="shared" si="44"/>
        <v>0.99899885997742377</v>
      </c>
      <c r="S97" s="85">
        <f t="shared" si="44"/>
        <v>0.99895845307430287</v>
      </c>
      <c r="T97" s="85">
        <f t="shared" si="44"/>
        <v>0.99892141892663844</v>
      </c>
      <c r="U97" s="85">
        <f t="shared" si="44"/>
        <v>0.99888678244029916</v>
      </c>
      <c r="V97" s="85">
        <f t="shared" si="44"/>
        <v>0.9988541065597476</v>
      </c>
      <c r="W97" s="35">
        <f t="shared" si="44"/>
        <v>0.99882231644739838</v>
      </c>
      <c r="X97" s="47"/>
      <c r="Y97" s="47"/>
    </row>
    <row r="98" spans="2:25" x14ac:dyDescent="0.2">
      <c r="C98" s="27"/>
      <c r="D98" s="27"/>
      <c r="E98" s="27"/>
      <c r="F98" s="27"/>
      <c r="G98" s="27"/>
      <c r="H98" s="27"/>
      <c r="I98" s="27"/>
      <c r="J98" s="27"/>
      <c r="K98" s="27"/>
      <c r="L98" s="27"/>
      <c r="M98" s="27"/>
      <c r="N98" s="27"/>
      <c r="O98" s="27"/>
      <c r="P98" s="27"/>
      <c r="Q98" s="27"/>
      <c r="R98" s="27"/>
      <c r="S98" s="27"/>
      <c r="T98" s="27"/>
      <c r="U98" s="27"/>
      <c r="V98" s="27"/>
      <c r="W98" s="27"/>
      <c r="X98" s="47"/>
      <c r="Y98" s="47"/>
    </row>
    <row r="99" spans="2:25" x14ac:dyDescent="0.2">
      <c r="B99" s="89" t="s">
        <v>101</v>
      </c>
      <c r="C99" s="91">
        <f>'Baseline NFPC'!C96</f>
        <v>2.2892730000000001</v>
      </c>
      <c r="D99" s="91">
        <f>'Baseline NFPC'!D96</f>
        <v>1.9552499999999999</v>
      </c>
      <c r="E99" s="91">
        <f>'Baseline NFPC'!E96</f>
        <v>2.4150100000000001</v>
      </c>
      <c r="F99" s="91">
        <f>'Baseline NFPC'!F96</f>
        <v>2.7772610000000002</v>
      </c>
      <c r="G99" s="91">
        <f>'Baseline NFPC'!G96</f>
        <v>2.4995349999999998</v>
      </c>
      <c r="H99" s="91">
        <f>H101+H102</f>
        <v>2.499600820862121</v>
      </c>
      <c r="I99" s="91">
        <f t="shared" ref="I99:W99" si="45">I101+I102</f>
        <v>2.7518753324566312</v>
      </c>
      <c r="J99" s="91">
        <f t="shared" si="45"/>
        <v>2.9735921332278807</v>
      </c>
      <c r="K99" s="91">
        <f t="shared" si="45"/>
        <v>3.1772086299084141</v>
      </c>
      <c r="L99" s="91">
        <f t="shared" si="45"/>
        <v>3.3590521718898212</v>
      </c>
      <c r="M99" s="91">
        <f t="shared" si="45"/>
        <v>3.5259360418962324</v>
      </c>
      <c r="N99" s="91">
        <f t="shared" si="45"/>
        <v>3.6805284355947525</v>
      </c>
      <c r="O99" s="91">
        <f t="shared" si="45"/>
        <v>3.8256420561200848</v>
      </c>
      <c r="P99" s="91">
        <f t="shared" si="45"/>
        <v>3.9622572649856935</v>
      </c>
      <c r="Q99" s="91">
        <f t="shared" si="45"/>
        <v>4.0738667342477139</v>
      </c>
      <c r="R99" s="91">
        <f t="shared" si="45"/>
        <v>4.1666182038199748</v>
      </c>
      <c r="S99" s="91">
        <f t="shared" si="45"/>
        <v>4.2430870714648714</v>
      </c>
      <c r="T99" s="91">
        <f t="shared" si="45"/>
        <v>4.3052004258979411</v>
      </c>
      <c r="U99" s="91">
        <f t="shared" si="45"/>
        <v>4.3549272992696935</v>
      </c>
      <c r="V99" s="91">
        <f t="shared" si="45"/>
        <v>4.394160593152618</v>
      </c>
      <c r="W99" s="91">
        <f t="shared" si="45"/>
        <v>4.4241892050502223</v>
      </c>
      <c r="X99" s="47"/>
      <c r="Y99" s="47"/>
    </row>
    <row r="100" spans="2:25" x14ac:dyDescent="0.2">
      <c r="B100" s="22" t="s">
        <v>102</v>
      </c>
      <c r="C100" s="23"/>
      <c r="D100" s="23"/>
      <c r="E100" s="23"/>
      <c r="F100" s="190">
        <f>((F36*E90)-(F38*(E93+E95)))/(E91+E92+E94)</f>
        <v>2.7772605145559659</v>
      </c>
      <c r="G100" s="190">
        <f>((G36*F90)-(G38*(F93+F95)))/(F91+F92+F94)</f>
        <v>2.4998019123239978</v>
      </c>
      <c r="H100" s="23">
        <f>IF(G90&gt;0,(G100*G91+
('Baseline NFPC'!H97*(G91+G92+G94)-'Baseline NFPC'!G97*G91)/(G92+G94)
*(G94+G92))/(G91+G92+G94),H37)</f>
        <v>2.4997928038771331</v>
      </c>
      <c r="I100" s="23">
        <f t="shared" ref="I100:W100" si="46">IF(H90&gt;0,(H100*H91+I37*(H94+H92))/(H91+H92+H94),I37)</f>
        <v>2.7522331985526214</v>
      </c>
      <c r="J100" s="23">
        <f t="shared" si="46"/>
        <v>2.9741005327552061</v>
      </c>
      <c r="K100" s="23">
        <f t="shared" si="46"/>
        <v>3.1778583180707916</v>
      </c>
      <c r="L100" s="23">
        <f t="shared" si="46"/>
        <v>3.3598173729340233</v>
      </c>
      <c r="M100" s="23">
        <f t="shared" si="46"/>
        <v>3.5267960021778286</v>
      </c>
      <c r="N100" s="23">
        <f t="shared" si="46"/>
        <v>3.6814628021555773</v>
      </c>
      <c r="O100" s="23">
        <f t="shared" si="46"/>
        <v>3.8266328613529943</v>
      </c>
      <c r="P100" s="23">
        <f t="shared" si="46"/>
        <v>3.963286422224888</v>
      </c>
      <c r="Q100" s="23">
        <f t="shared" si="46"/>
        <v>4.0750954816336442</v>
      </c>
      <c r="R100" s="23">
        <f t="shared" si="46"/>
        <v>4.1680375300854813</v>
      </c>
      <c r="S100" s="23">
        <f t="shared" si="46"/>
        <v>4.2446869001289436</v>
      </c>
      <c r="T100" s="23">
        <f t="shared" si="46"/>
        <v>4.3069693155754001</v>
      </c>
      <c r="U100" s="23">
        <f t="shared" si="46"/>
        <v>4.3568539189388789</v>
      </c>
      <c r="V100" s="23">
        <f t="shared" si="46"/>
        <v>4.3962352691878577</v>
      </c>
      <c r="W100" s="23">
        <f t="shared" si="46"/>
        <v>4.4264029370351059</v>
      </c>
      <c r="X100" s="47"/>
      <c r="Y100" s="47"/>
    </row>
    <row r="101" spans="2:25" x14ac:dyDescent="0.2">
      <c r="B101" s="15" t="s">
        <v>103</v>
      </c>
      <c r="C101" s="331"/>
      <c r="D101" s="331"/>
      <c r="E101" s="331"/>
      <c r="F101" s="331">
        <f t="shared" ref="F101:W101" si="47">(F100*(E91+E92+E94)+F38*(E93+E95))/E90</f>
        <v>2.7772610000000002</v>
      </c>
      <c r="G101" s="331">
        <f t="shared" si="47"/>
        <v>2.4995349999999998</v>
      </c>
      <c r="H101" s="331">
        <f t="shared" si="47"/>
        <v>2.499600820862121</v>
      </c>
      <c r="I101" s="331">
        <f t="shared" si="47"/>
        <v>2.7518753324566312</v>
      </c>
      <c r="J101" s="331">
        <f t="shared" si="47"/>
        <v>2.9735921332278807</v>
      </c>
      <c r="K101" s="331">
        <f t="shared" si="47"/>
        <v>3.1772086299084141</v>
      </c>
      <c r="L101" s="331">
        <f t="shared" si="47"/>
        <v>3.3590521718898212</v>
      </c>
      <c r="M101" s="331">
        <f t="shared" si="47"/>
        <v>3.5259360418962324</v>
      </c>
      <c r="N101" s="331">
        <f t="shared" si="47"/>
        <v>3.6805284355947525</v>
      </c>
      <c r="O101" s="331">
        <f t="shared" si="47"/>
        <v>3.8256420561200848</v>
      </c>
      <c r="P101" s="331">
        <f t="shared" si="47"/>
        <v>3.9622572649856935</v>
      </c>
      <c r="Q101" s="331">
        <f t="shared" si="47"/>
        <v>4.0738667342477139</v>
      </c>
      <c r="R101" s="331">
        <f t="shared" si="47"/>
        <v>4.1666182038199748</v>
      </c>
      <c r="S101" s="331">
        <f t="shared" si="47"/>
        <v>4.2430870714648714</v>
      </c>
      <c r="T101" s="331">
        <f t="shared" si="47"/>
        <v>4.3052004258979411</v>
      </c>
      <c r="U101" s="331">
        <f t="shared" si="47"/>
        <v>4.3549272992696935</v>
      </c>
      <c r="V101" s="331">
        <f t="shared" si="47"/>
        <v>4.394160593152618</v>
      </c>
      <c r="W101" s="331">
        <f t="shared" si="47"/>
        <v>4.4241892050502223</v>
      </c>
      <c r="X101" s="47"/>
      <c r="Y101" s="47"/>
    </row>
    <row r="102" spans="2:25" x14ac:dyDescent="0.2">
      <c r="B102" s="24" t="s">
        <v>104</v>
      </c>
      <c r="C102" s="35"/>
      <c r="D102" s="35"/>
      <c r="E102" s="35"/>
      <c r="F102" s="35">
        <f>'Adjust. no safeguard'!F104</f>
        <v>0</v>
      </c>
      <c r="G102" s="35">
        <f>'Adjust. no safeguard'!G104</f>
        <v>0</v>
      </c>
      <c r="H102" s="35">
        <f>'Adjust. no safeguard'!H104</f>
        <v>0</v>
      </c>
      <c r="I102" s="35">
        <f>'Adjust. no safeguard'!I104</f>
        <v>0</v>
      </c>
      <c r="J102" s="35">
        <f>'Adjust. no safeguard'!J104</f>
        <v>0</v>
      </c>
      <c r="K102" s="35">
        <f>'Adjust. no safeguard'!K104</f>
        <v>0</v>
      </c>
      <c r="L102" s="35">
        <f>'Adjust. no safeguard'!L104</f>
        <v>0</v>
      </c>
      <c r="M102" s="35">
        <f>'Adjust. no safeguard'!M104</f>
        <v>0</v>
      </c>
      <c r="N102" s="35">
        <f>'Adjust. no safeguard'!N104</f>
        <v>0</v>
      </c>
      <c r="O102" s="35">
        <f>'Adjust. no safeguard'!O104</f>
        <v>0</v>
      </c>
      <c r="P102" s="35">
        <f>'Adjust. no safeguard'!P104</f>
        <v>0</v>
      </c>
      <c r="Q102" s="35">
        <f>'Adjust. no safeguard'!Q104</f>
        <v>0</v>
      </c>
      <c r="R102" s="35">
        <f>'Adjust. no safeguard'!R104</f>
        <v>0</v>
      </c>
      <c r="S102" s="35">
        <f>'Adjust. no safeguard'!S104</f>
        <v>0</v>
      </c>
      <c r="T102" s="35">
        <f>'Adjust. no safeguard'!T104</f>
        <v>0</v>
      </c>
      <c r="U102" s="35">
        <f>'Adjust. no safeguard'!U104</f>
        <v>0</v>
      </c>
      <c r="V102" s="35">
        <f>'Adjust. no safeguard'!V104</f>
        <v>0</v>
      </c>
      <c r="W102" s="35">
        <f>'Adjust. no safeguard'!W104</f>
        <v>0</v>
      </c>
      <c r="X102" s="47"/>
      <c r="Y102" s="47"/>
    </row>
    <row r="103" spans="2:25" x14ac:dyDescent="0.2">
      <c r="C103" s="27"/>
      <c r="D103" s="27"/>
      <c r="E103" s="27"/>
      <c r="F103" s="27"/>
      <c r="G103" s="23"/>
      <c r="H103" s="23"/>
      <c r="I103" s="23"/>
      <c r="J103" s="23"/>
      <c r="K103" s="23"/>
      <c r="L103" s="23"/>
      <c r="M103" s="23"/>
      <c r="N103" s="23"/>
      <c r="O103" s="23"/>
      <c r="P103" s="23"/>
      <c r="Q103" s="23"/>
      <c r="R103" s="23"/>
      <c r="S103" s="23"/>
      <c r="T103" s="23"/>
      <c r="U103" s="23"/>
      <c r="V103" s="23"/>
      <c r="W103" s="23"/>
      <c r="X103" s="47"/>
      <c r="Y103" s="47"/>
    </row>
    <row r="104" spans="2:25" x14ac:dyDescent="0.2">
      <c r="B104" s="89" t="s">
        <v>133</v>
      </c>
      <c r="C104" s="91">
        <f t="shared" ref="C104:W104" si="48">((1+C99/100)/((1+C24/100)*(1+C42/100))-1)*100</f>
        <v>-11.276004958408825</v>
      </c>
      <c r="D104" s="91">
        <f t="shared" si="48"/>
        <v>-15.460015302618512</v>
      </c>
      <c r="E104" s="91">
        <f t="shared" si="48"/>
        <v>-6.9137865845611763</v>
      </c>
      <c r="F104" s="91">
        <f t="shared" si="48"/>
        <v>-4.2231070275995597</v>
      </c>
      <c r="G104" s="91">
        <f t="shared" si="48"/>
        <v>-2.1781024737760668</v>
      </c>
      <c r="H104" s="91">
        <f t="shared" si="48"/>
        <v>-2.8834729294153316</v>
      </c>
      <c r="I104" s="91">
        <f t="shared" si="48"/>
        <v>-2.0102958572903562</v>
      </c>
      <c r="J104" s="91">
        <f t="shared" si="48"/>
        <v>-1.8437561398841229</v>
      </c>
      <c r="K104" s="91">
        <f t="shared" si="48"/>
        <v>-1.5925146675654589</v>
      </c>
      <c r="L104" s="91">
        <f t="shared" si="48"/>
        <v>-1.229171621956715</v>
      </c>
      <c r="M104" s="91">
        <f t="shared" si="48"/>
        <v>-0.88539541306829062</v>
      </c>
      <c r="N104" s="91">
        <f t="shared" si="48"/>
        <v>-0.53587580067802065</v>
      </c>
      <c r="O104" s="91">
        <f t="shared" si="48"/>
        <v>-0.24269322657197723</v>
      </c>
      <c r="P104" s="91">
        <f t="shared" si="48"/>
        <v>-3.0456664546185674E-2</v>
      </c>
      <c r="Q104" s="91">
        <f t="shared" si="48"/>
        <v>9.912027719531924E-2</v>
      </c>
      <c r="R104" s="91">
        <f t="shared" si="48"/>
        <v>0.21062410485859218</v>
      </c>
      <c r="S104" s="91">
        <f t="shared" si="48"/>
        <v>0.30649130213262765</v>
      </c>
      <c r="T104" s="91">
        <f t="shared" si="48"/>
        <v>0.46141907584986708</v>
      </c>
      <c r="U104" s="91">
        <f t="shared" si="48"/>
        <v>0.59497456787209746</v>
      </c>
      <c r="V104" s="91">
        <f t="shared" si="48"/>
        <v>0.70516054829192765</v>
      </c>
      <c r="W104" s="91">
        <f t="shared" si="48"/>
        <v>0.80008971476244195</v>
      </c>
      <c r="X104" s="47"/>
      <c r="Y104" s="47"/>
    </row>
    <row r="105" spans="2:25" x14ac:dyDescent="0.2">
      <c r="F105" s="23"/>
      <c r="G105" s="23"/>
      <c r="H105" s="23"/>
      <c r="I105" s="23"/>
      <c r="J105" s="23"/>
      <c r="K105" s="23"/>
      <c r="L105" s="23"/>
      <c r="M105" s="23"/>
      <c r="N105" s="23"/>
      <c r="O105" s="23"/>
      <c r="P105" s="23"/>
      <c r="Q105" s="23"/>
      <c r="R105" s="23"/>
      <c r="S105" s="23"/>
      <c r="T105" s="23"/>
      <c r="U105" s="23"/>
      <c r="V105" s="23"/>
      <c r="W105" s="23"/>
      <c r="X105" s="47"/>
      <c r="Y105" s="47"/>
    </row>
    <row r="106" spans="2:25" x14ac:dyDescent="0.2">
      <c r="I106" s="179"/>
      <c r="J106" s="179"/>
      <c r="K106" s="179"/>
      <c r="L106" s="179"/>
      <c r="M106" s="179"/>
      <c r="N106" s="179"/>
      <c r="O106" s="179"/>
      <c r="P106" s="179"/>
      <c r="Q106" s="179"/>
      <c r="R106" s="179"/>
      <c r="S106" s="179"/>
      <c r="T106" s="179"/>
      <c r="U106" s="23"/>
      <c r="V106" s="23"/>
      <c r="W106" s="23"/>
      <c r="X106" s="47"/>
      <c r="Y106" s="47"/>
    </row>
    <row r="107" spans="2:25" x14ac:dyDescent="0.2">
      <c r="B107" s="334"/>
      <c r="C107" s="334"/>
      <c r="D107" s="334"/>
      <c r="E107" s="334"/>
      <c r="F107" s="335"/>
      <c r="G107" s="336"/>
      <c r="H107" s="336"/>
      <c r="T107" s="47"/>
      <c r="U107" s="47"/>
      <c r="V107" s="47"/>
      <c r="W107" s="47"/>
      <c r="X107" s="47"/>
      <c r="Y107" s="47"/>
    </row>
    <row r="108" spans="2:25" x14ac:dyDescent="0.2">
      <c r="T108" s="47"/>
      <c r="U108" s="92"/>
      <c r="V108" s="92"/>
      <c r="W108" s="92"/>
      <c r="X108" s="92"/>
      <c r="Y108" s="47"/>
    </row>
    <row r="109" spans="2:25" x14ac:dyDescent="0.2">
      <c r="H109" s="97"/>
      <c r="I109" s="97"/>
      <c r="J109" s="97"/>
      <c r="K109" s="97"/>
      <c r="L109" s="97"/>
      <c r="M109" s="97"/>
      <c r="N109" s="97"/>
      <c r="O109" s="97"/>
      <c r="P109" s="97"/>
      <c r="Q109" s="97"/>
      <c r="R109" s="97"/>
      <c r="S109" s="97"/>
      <c r="T109" s="97"/>
      <c r="U109" s="97"/>
      <c r="V109" s="97"/>
      <c r="W109" s="97"/>
    </row>
    <row r="110" spans="2:25" x14ac:dyDescent="0.2">
      <c r="E110" s="23"/>
      <c r="F110" s="23"/>
      <c r="G110" s="97"/>
      <c r="H110" s="97"/>
      <c r="I110" s="97"/>
      <c r="J110" s="97"/>
      <c r="K110" s="97"/>
      <c r="L110" s="97"/>
      <c r="M110" s="97"/>
      <c r="N110" s="97"/>
      <c r="O110" s="97"/>
      <c r="P110" s="97"/>
      <c r="Q110" s="97"/>
      <c r="R110" s="97"/>
      <c r="S110" s="97"/>
      <c r="T110" s="97"/>
      <c r="U110" s="97"/>
      <c r="V110" s="97"/>
      <c r="W110" s="97"/>
    </row>
    <row r="111" spans="2:25" x14ac:dyDescent="0.2">
      <c r="E111" s="23"/>
      <c r="F111" s="23"/>
      <c r="G111" s="97"/>
      <c r="H111" s="97"/>
      <c r="I111" s="97"/>
      <c r="J111" s="97"/>
      <c r="K111" s="97"/>
      <c r="L111" s="97"/>
      <c r="M111" s="97"/>
      <c r="N111" s="97"/>
      <c r="O111" s="97"/>
      <c r="P111" s="97"/>
      <c r="Q111" s="97"/>
      <c r="R111" s="97"/>
      <c r="S111" s="97"/>
      <c r="T111" s="97"/>
      <c r="U111" s="97"/>
      <c r="V111" s="97"/>
      <c r="W111" s="97"/>
    </row>
    <row r="114" spans="5:24" x14ac:dyDescent="0.2">
      <c r="E114" s="23"/>
      <c r="F114" s="23"/>
      <c r="G114" s="97"/>
      <c r="H114" s="97"/>
      <c r="I114" s="97"/>
      <c r="J114" s="97"/>
      <c r="K114" s="97"/>
      <c r="L114" s="97"/>
      <c r="M114" s="97"/>
      <c r="N114" s="97"/>
      <c r="O114" s="97"/>
      <c r="P114" s="97"/>
      <c r="Q114" s="97"/>
      <c r="R114" s="97"/>
      <c r="S114" s="97"/>
      <c r="T114" s="97"/>
      <c r="U114" s="97"/>
      <c r="V114" s="97"/>
      <c r="W114" s="97"/>
    </row>
    <row r="115" spans="5:24" x14ac:dyDescent="0.2">
      <c r="E115" s="23"/>
      <c r="F115" s="23"/>
      <c r="G115" s="97"/>
      <c r="H115" s="97"/>
      <c r="I115" s="97"/>
      <c r="J115" s="97"/>
      <c r="K115" s="97"/>
      <c r="L115" s="97"/>
      <c r="M115" s="97"/>
      <c r="N115" s="97"/>
      <c r="O115" s="97"/>
      <c r="P115" s="97"/>
      <c r="Q115" s="97"/>
      <c r="R115" s="97"/>
      <c r="S115" s="97"/>
      <c r="T115" s="97"/>
      <c r="U115" s="97"/>
      <c r="V115" s="97"/>
      <c r="W115" s="97"/>
      <c r="X115" s="38"/>
    </row>
    <row r="116" spans="5:24" x14ac:dyDescent="0.2">
      <c r="G116" s="38"/>
      <c r="H116" s="38"/>
      <c r="I116" s="38"/>
      <c r="J116" s="38"/>
      <c r="K116" s="38"/>
      <c r="L116" s="38"/>
      <c r="M116" s="38"/>
      <c r="N116" s="38"/>
      <c r="O116" s="38"/>
      <c r="P116" s="38"/>
      <c r="Q116" s="38"/>
      <c r="R116" s="38"/>
      <c r="S116" s="38"/>
      <c r="T116" s="38"/>
      <c r="U116" s="38"/>
      <c r="V116" s="38"/>
      <c r="W116" s="38"/>
      <c r="X116" s="38"/>
    </row>
    <row r="117" spans="5:24" x14ac:dyDescent="0.2">
      <c r="E117" s="23"/>
      <c r="F117" s="23"/>
      <c r="G117" s="97"/>
      <c r="H117" s="97"/>
      <c r="I117" s="97"/>
      <c r="J117" s="97"/>
      <c r="K117" s="97"/>
      <c r="L117" s="97"/>
      <c r="M117" s="97"/>
      <c r="N117" s="97"/>
      <c r="O117" s="97"/>
      <c r="P117" s="97"/>
      <c r="Q117" s="97"/>
      <c r="R117" s="97"/>
      <c r="S117" s="97"/>
      <c r="T117" s="97"/>
      <c r="U117" s="97"/>
      <c r="V117" s="97"/>
      <c r="W117" s="97"/>
      <c r="X117" s="38"/>
    </row>
    <row r="118" spans="5:24" x14ac:dyDescent="0.2">
      <c r="E118" s="23"/>
      <c r="F118" s="23"/>
      <c r="G118" s="97"/>
      <c r="H118" s="97"/>
      <c r="I118" s="97"/>
      <c r="J118" s="97"/>
      <c r="K118" s="97"/>
      <c r="L118" s="97"/>
      <c r="M118" s="97"/>
      <c r="N118" s="97"/>
      <c r="O118" s="97"/>
      <c r="P118" s="97"/>
      <c r="Q118" s="97"/>
      <c r="R118" s="97"/>
      <c r="S118" s="97"/>
      <c r="T118" s="97"/>
      <c r="U118" s="97"/>
      <c r="V118" s="97"/>
      <c r="W118" s="97"/>
      <c r="X118" s="38"/>
    </row>
    <row r="119" spans="5:24" x14ac:dyDescent="0.2">
      <c r="G119" s="38"/>
      <c r="H119" s="38"/>
      <c r="I119" s="38"/>
      <c r="J119" s="38"/>
      <c r="K119" s="38"/>
      <c r="L119" s="38"/>
      <c r="M119" s="38"/>
      <c r="N119" s="38"/>
      <c r="O119" s="38"/>
      <c r="P119" s="38"/>
      <c r="Q119" s="38"/>
      <c r="R119" s="38"/>
      <c r="S119" s="38"/>
      <c r="T119" s="38"/>
      <c r="U119" s="38"/>
      <c r="V119" s="38"/>
      <c r="W119" s="38"/>
      <c r="X119" s="38"/>
    </row>
    <row r="120" spans="5:24" x14ac:dyDescent="0.2">
      <c r="E120" s="23"/>
      <c r="F120" s="23"/>
      <c r="G120" s="97"/>
      <c r="H120" s="97"/>
      <c r="I120" s="97"/>
      <c r="J120" s="97"/>
      <c r="K120" s="97"/>
      <c r="L120" s="97"/>
      <c r="M120" s="97"/>
      <c r="N120" s="97"/>
      <c r="O120" s="97"/>
      <c r="P120" s="97"/>
      <c r="Q120" s="97"/>
      <c r="R120" s="97"/>
      <c r="S120" s="97"/>
      <c r="T120" s="97"/>
      <c r="U120" s="97"/>
      <c r="V120" s="97"/>
      <c r="W120" s="97"/>
      <c r="X120" s="97"/>
    </row>
    <row r="121" spans="5:24" x14ac:dyDescent="0.2">
      <c r="E121" s="23"/>
      <c r="F121" s="23"/>
      <c r="G121" s="97"/>
      <c r="H121" s="97"/>
      <c r="I121" s="97"/>
      <c r="J121" s="97"/>
      <c r="K121" s="97"/>
      <c r="L121" s="97"/>
      <c r="M121" s="97"/>
      <c r="N121" s="97"/>
      <c r="O121" s="97"/>
      <c r="P121" s="97"/>
      <c r="Q121" s="97"/>
      <c r="R121" s="97"/>
      <c r="S121" s="97"/>
      <c r="T121" s="97"/>
      <c r="U121" s="97"/>
      <c r="V121" s="97"/>
      <c r="W121" s="97"/>
      <c r="X121" s="97"/>
    </row>
    <row r="122" spans="5:24" x14ac:dyDescent="0.2">
      <c r="G122" s="97"/>
      <c r="H122" s="97"/>
      <c r="I122" s="97"/>
      <c r="J122" s="97"/>
      <c r="K122" s="97"/>
      <c r="L122" s="97"/>
      <c r="M122" s="97"/>
      <c r="N122" s="97"/>
      <c r="O122" s="97"/>
      <c r="P122" s="97"/>
      <c r="Q122" s="97"/>
      <c r="R122" s="97"/>
      <c r="S122" s="97"/>
      <c r="T122" s="97"/>
      <c r="U122" s="97"/>
      <c r="V122" s="97"/>
      <c r="W122" s="97"/>
      <c r="X122" s="97"/>
    </row>
    <row r="123" spans="5:24" x14ac:dyDescent="0.2">
      <c r="E123" s="23"/>
      <c r="F123" s="23"/>
      <c r="G123" s="97"/>
      <c r="H123" s="97"/>
      <c r="I123" s="97"/>
      <c r="J123" s="97"/>
      <c r="K123" s="97"/>
      <c r="L123" s="97"/>
      <c r="M123" s="97"/>
      <c r="N123" s="97"/>
      <c r="O123" s="97"/>
      <c r="P123" s="97"/>
      <c r="Q123" s="97"/>
      <c r="R123" s="97"/>
      <c r="S123" s="97"/>
      <c r="T123" s="97"/>
      <c r="U123" s="97"/>
      <c r="V123" s="97"/>
      <c r="W123" s="97"/>
      <c r="X123" s="97"/>
    </row>
    <row r="124" spans="5:24" x14ac:dyDescent="0.2">
      <c r="E124" s="23"/>
      <c r="F124" s="23"/>
      <c r="G124" s="97"/>
      <c r="H124" s="97"/>
      <c r="I124" s="97"/>
      <c r="J124" s="97"/>
      <c r="K124" s="97"/>
      <c r="L124" s="97"/>
      <c r="M124" s="97"/>
      <c r="N124" s="97"/>
      <c r="O124" s="97"/>
      <c r="P124" s="97"/>
      <c r="Q124" s="97"/>
      <c r="R124" s="97"/>
      <c r="S124" s="97"/>
      <c r="T124" s="97"/>
      <c r="U124" s="97"/>
      <c r="V124" s="97"/>
      <c r="W124" s="97"/>
      <c r="X124" s="97"/>
    </row>
    <row r="125" spans="5:24" x14ac:dyDescent="0.2">
      <c r="G125" s="97"/>
      <c r="H125" s="97"/>
      <c r="I125" s="97"/>
      <c r="J125" s="97"/>
      <c r="K125" s="97"/>
      <c r="L125" s="97"/>
      <c r="M125" s="97"/>
      <c r="N125" s="97"/>
      <c r="O125" s="97"/>
      <c r="P125" s="97"/>
      <c r="Q125" s="97"/>
      <c r="R125" s="97"/>
      <c r="S125" s="97"/>
      <c r="T125" s="97"/>
      <c r="U125" s="97"/>
      <c r="V125" s="97"/>
      <c r="W125" s="97"/>
      <c r="X125" s="97"/>
    </row>
    <row r="126" spans="5:24" x14ac:dyDescent="0.2">
      <c r="G126" s="97"/>
      <c r="H126" s="97"/>
      <c r="I126" s="97"/>
      <c r="J126" s="97"/>
      <c r="K126" s="97"/>
      <c r="L126" s="97"/>
      <c r="M126" s="97"/>
      <c r="N126" s="97"/>
      <c r="O126" s="97"/>
      <c r="P126" s="97"/>
      <c r="Q126" s="97"/>
      <c r="R126" s="97"/>
      <c r="S126" s="97"/>
      <c r="T126" s="97"/>
      <c r="U126" s="97"/>
      <c r="V126" s="97"/>
      <c r="W126" s="97"/>
      <c r="X126" s="97"/>
    </row>
  </sheetData>
  <conditionalFormatting sqref="G12:M12">
    <cfRule type="expression" dxfId="8" priority="4">
      <formula>AND(G10&gt;$C$5,G10&lt;=$C$6)</formula>
    </cfRule>
  </conditionalFormatting>
  <conditionalFormatting sqref="U10:W44 U46:W53 U55:W82 U84:W121">
    <cfRule type="expression" dxfId="7" priority="1">
      <formula>U$10&gt;$C$7</formula>
    </cfRule>
  </conditionalFormatting>
  <pageMargins left="0.7" right="0.7" top="0.75" bottom="0.75" header="0.3" footer="0.3"/>
  <pageSetup paperSize="9" orientation="portrait" r:id="rId1"/>
  <ignoredErrors>
    <ignoredError sqref="C5 C47:C48"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6BD62-F475-4E99-9E07-BEAA4AE832C8}">
  <sheetPr codeName="Sheet18">
    <tabColor rgb="FF92D050"/>
  </sheetPr>
  <dimension ref="A1:AY139"/>
  <sheetViews>
    <sheetView zoomScaleNormal="100" workbookViewId="0"/>
  </sheetViews>
  <sheetFormatPr defaultColWidth="9.28515625" defaultRowHeight="11.25" outlineLevelRow="1" x14ac:dyDescent="0.2"/>
  <cols>
    <col min="1" max="1" width="9.28515625" style="15" customWidth="1"/>
    <col min="2" max="2" width="57.42578125" style="15" customWidth="1"/>
    <col min="3" max="38" width="9.28515625" style="15" customWidth="1"/>
    <col min="39" max="48" width="11.42578125" style="15" bestFit="1" customWidth="1"/>
    <col min="49" max="16384" width="9.28515625" style="15"/>
  </cols>
  <sheetData>
    <row r="1" spans="1:51" ht="24.75" customHeight="1" x14ac:dyDescent="0.2">
      <c r="B1" s="28"/>
    </row>
    <row r="2" spans="1:51" ht="11.25" customHeight="1" x14ac:dyDescent="0.2">
      <c r="B2" s="16"/>
    </row>
    <row r="3" spans="1:51" ht="11.25" customHeight="1" x14ac:dyDescent="0.2">
      <c r="B3" s="8" t="s">
        <v>11</v>
      </c>
      <c r="C3" s="9" t="str">
        <f>'Input data'!C3</f>
        <v>BG</v>
      </c>
    </row>
    <row r="4" spans="1:51" x14ac:dyDescent="0.2">
      <c r="B4" s="49" t="s">
        <v>16</v>
      </c>
      <c r="C4" s="10"/>
    </row>
    <row r="5" spans="1:51" x14ac:dyDescent="0.2">
      <c r="A5" s="18"/>
      <c r="B5" s="11" t="str">
        <f>'Input data'!B5</f>
        <v>Last year before the adjustment</v>
      </c>
      <c r="C5" s="12">
        <f>+'Input data'!C5</f>
        <v>2024</v>
      </c>
      <c r="J5" s="38"/>
      <c r="M5" s="27"/>
    </row>
    <row r="6" spans="1:51" x14ac:dyDescent="0.2">
      <c r="A6" s="18"/>
      <c r="B6" s="50" t="s">
        <v>22</v>
      </c>
      <c r="C6" s="12">
        <f>+C5+'Criteria results'!$F$5</f>
        <v>2028</v>
      </c>
      <c r="E6" s="30"/>
      <c r="F6" s="18"/>
    </row>
    <row r="7" spans="1:51" x14ac:dyDescent="0.2">
      <c r="A7" s="18"/>
      <c r="B7" s="13" t="s">
        <v>17</v>
      </c>
      <c r="C7" s="51">
        <f>C5+'Criteria results'!$F$5+10</f>
        <v>2038</v>
      </c>
      <c r="E7" s="30"/>
      <c r="F7" s="18"/>
      <c r="G7" s="38"/>
      <c r="H7" s="38"/>
      <c r="I7" s="38"/>
      <c r="J7" s="38"/>
      <c r="K7" s="38"/>
      <c r="L7" s="38"/>
      <c r="M7" s="38"/>
    </row>
    <row r="8" spans="1:51" x14ac:dyDescent="0.2">
      <c r="A8" s="18"/>
      <c r="C8" s="18"/>
      <c r="E8" s="30"/>
      <c r="F8" s="18"/>
      <c r="G8" s="18"/>
      <c r="H8" s="18"/>
      <c r="I8" s="18"/>
      <c r="J8" s="18"/>
      <c r="K8" s="18"/>
      <c r="L8" s="18"/>
      <c r="M8" s="18"/>
      <c r="N8" s="18"/>
      <c r="O8" s="18"/>
      <c r="P8" s="18"/>
      <c r="Q8" s="18"/>
      <c r="R8" s="18"/>
      <c r="S8" s="18"/>
      <c r="T8" s="18"/>
      <c r="U8" s="18"/>
      <c r="V8" s="18"/>
      <c r="W8" s="18"/>
    </row>
    <row r="9" spans="1:51" s="52" customFormat="1" ht="12.75" x14ac:dyDescent="0.2">
      <c r="B9" s="14" t="s">
        <v>23</v>
      </c>
    </row>
    <row r="10" spans="1:51" x14ac:dyDescent="0.2">
      <c r="C10" s="20">
        <v>2021</v>
      </c>
      <c r="D10" s="20">
        <v>2022</v>
      </c>
      <c r="E10" s="20">
        <v>2023</v>
      </c>
      <c r="F10" s="20">
        <v>2024</v>
      </c>
      <c r="G10" s="20">
        <v>2025</v>
      </c>
      <c r="H10" s="20">
        <v>2026</v>
      </c>
      <c r="I10" s="20">
        <v>2027</v>
      </c>
      <c r="J10" s="20">
        <v>2028</v>
      </c>
      <c r="K10" s="20">
        <v>2029</v>
      </c>
      <c r="L10" s="20">
        <v>2030</v>
      </c>
      <c r="M10" s="20">
        <v>2031</v>
      </c>
      <c r="N10" s="20">
        <v>2032</v>
      </c>
      <c r="O10" s="20">
        <v>2033</v>
      </c>
      <c r="P10" s="20">
        <v>2034</v>
      </c>
      <c r="Q10" s="20">
        <v>2035</v>
      </c>
      <c r="R10" s="20">
        <v>2036</v>
      </c>
      <c r="S10" s="20">
        <v>2037</v>
      </c>
      <c r="T10" s="20">
        <v>2038</v>
      </c>
      <c r="U10" s="20">
        <v>2039</v>
      </c>
      <c r="V10" s="20">
        <v>2040</v>
      </c>
      <c r="W10" s="20">
        <v>2041</v>
      </c>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row>
    <row r="11" spans="1:51" x14ac:dyDescent="0.2">
      <c r="B11" s="17" t="s">
        <v>24</v>
      </c>
      <c r="C11" s="18"/>
      <c r="D11" s="18"/>
      <c r="E11" s="18"/>
      <c r="F11" s="187"/>
      <c r="G11" s="339"/>
      <c r="H11" s="339"/>
      <c r="I11" s="339"/>
      <c r="J11" s="339"/>
      <c r="K11" s="339"/>
      <c r="L11" s="339"/>
      <c r="M11" s="339"/>
      <c r="N11" s="187"/>
      <c r="O11" s="187"/>
      <c r="P11" s="187"/>
      <c r="Q11" s="187"/>
      <c r="R11" s="187"/>
      <c r="S11" s="187"/>
      <c r="T11" s="187"/>
      <c r="U11" s="187"/>
      <c r="V11" s="187"/>
      <c r="W11" s="187"/>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row>
    <row r="12" spans="1:51" x14ac:dyDescent="0.2">
      <c r="B12" s="15" t="s">
        <v>26</v>
      </c>
      <c r="C12" s="1">
        <f>'Input data'!C13</f>
        <v>-3.5045600000000001</v>
      </c>
      <c r="D12" s="2">
        <f>'Input data'!D13</f>
        <v>-3.0163250000000001</v>
      </c>
      <c r="E12" s="2">
        <f>'Input data'!E13</f>
        <v>-1.7785709999999999</v>
      </c>
      <c r="F12" s="2">
        <f>'Input data'!F13</f>
        <v>-2.0899299999999998</v>
      </c>
      <c r="G12" s="3">
        <f>IF(G10&lt;=$C$6,F12+'Criteria results'!$F$7,F12)</f>
        <v>-2.0899299999999998</v>
      </c>
      <c r="H12" s="3">
        <f>IF(H10&lt;=$C$6,G12+'Criteria results'!$F$7,G12)</f>
        <v>-2.0899299999999998</v>
      </c>
      <c r="I12" s="3">
        <f>IF(I10&lt;=$C$6,H12+'Criteria results'!$F$7,H12)</f>
        <v>-2.0899299999999998</v>
      </c>
      <c r="J12" s="3">
        <f>IF(J10&lt;=$C$6,I12+'Criteria results'!$F$7,I12)</f>
        <v>-2.0899299999999998</v>
      </c>
      <c r="K12" s="95">
        <f>IF(K10&lt;=$C$6,J12+'Criteria results'!$F$7,J12)</f>
        <v>-2.0899299999999998</v>
      </c>
      <c r="L12" s="95">
        <f>IF(L10&lt;=$C$6,K12+'Criteria results'!$F$7,K12)</f>
        <v>-2.0899299999999998</v>
      </c>
      <c r="M12" s="95">
        <f>IF(M10&lt;=$C$6,L12+'Criteria results'!$F$7,L12)</f>
        <v>-2.0899299999999998</v>
      </c>
      <c r="N12" s="95">
        <f>M12</f>
        <v>-2.0899299999999998</v>
      </c>
      <c r="O12" s="95">
        <f t="shared" ref="O12:W12" si="0">N12</f>
        <v>-2.0899299999999998</v>
      </c>
      <c r="P12" s="95">
        <f t="shared" si="0"/>
        <v>-2.0899299999999998</v>
      </c>
      <c r="Q12" s="95">
        <f t="shared" si="0"/>
        <v>-2.0899299999999998</v>
      </c>
      <c r="R12" s="95">
        <f t="shared" si="0"/>
        <v>-2.0899299999999998</v>
      </c>
      <c r="S12" s="95">
        <f t="shared" si="0"/>
        <v>-2.0899299999999998</v>
      </c>
      <c r="T12" s="95">
        <f t="shared" si="0"/>
        <v>-2.0899299999999998</v>
      </c>
      <c r="U12" s="95">
        <f t="shared" si="0"/>
        <v>-2.0899299999999998</v>
      </c>
      <c r="V12" s="95">
        <f t="shared" si="0"/>
        <v>-2.0899299999999998</v>
      </c>
      <c r="W12" s="95">
        <f t="shared" si="0"/>
        <v>-2.0899299999999998</v>
      </c>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5"/>
    </row>
    <row r="13" spans="1:51" x14ac:dyDescent="0.2">
      <c r="B13" s="274" t="s">
        <v>137</v>
      </c>
      <c r="C13" s="18"/>
      <c r="D13" s="18"/>
      <c r="E13" s="18"/>
      <c r="F13" s="187"/>
      <c r="G13" s="187">
        <f>G12-F12</f>
        <v>0</v>
      </c>
      <c r="H13" s="187">
        <f t="shared" ref="H13:W13" si="1">H12-G12</f>
        <v>0</v>
      </c>
      <c r="I13" s="187">
        <f t="shared" si="1"/>
        <v>0</v>
      </c>
      <c r="J13" s="187">
        <f t="shared" si="1"/>
        <v>0</v>
      </c>
      <c r="K13" s="187">
        <f t="shared" si="1"/>
        <v>0</v>
      </c>
      <c r="L13" s="187">
        <f t="shared" si="1"/>
        <v>0</v>
      </c>
      <c r="M13" s="187">
        <f t="shared" si="1"/>
        <v>0</v>
      </c>
      <c r="N13" s="187">
        <f t="shared" si="1"/>
        <v>0</v>
      </c>
      <c r="O13" s="187">
        <f t="shared" si="1"/>
        <v>0</v>
      </c>
      <c r="P13" s="187">
        <f t="shared" si="1"/>
        <v>0</v>
      </c>
      <c r="Q13" s="187">
        <f t="shared" si="1"/>
        <v>0</v>
      </c>
      <c r="R13" s="187">
        <f t="shared" si="1"/>
        <v>0</v>
      </c>
      <c r="S13" s="187">
        <f t="shared" si="1"/>
        <v>0</v>
      </c>
      <c r="T13" s="187">
        <f t="shared" si="1"/>
        <v>0</v>
      </c>
      <c r="U13" s="187">
        <f t="shared" si="1"/>
        <v>0</v>
      </c>
      <c r="V13" s="187">
        <f t="shared" si="1"/>
        <v>0</v>
      </c>
      <c r="W13" s="187">
        <f t="shared" si="1"/>
        <v>0</v>
      </c>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row>
    <row r="14" spans="1:51" x14ac:dyDescent="0.2">
      <c r="B14" s="15" t="s">
        <v>27</v>
      </c>
      <c r="C14" s="1">
        <f>'Input data'!C14</f>
        <v>-3.3667099999999998E-2</v>
      </c>
      <c r="D14" s="2">
        <f>'Input data'!D14</f>
        <v>0</v>
      </c>
      <c r="E14" s="2">
        <f>'Input data'!E14</f>
        <v>0</v>
      </c>
      <c r="F14" s="2">
        <f>'Input data'!F14</f>
        <v>0</v>
      </c>
      <c r="G14" s="2">
        <f>'Input data'!G14</f>
        <v>0</v>
      </c>
      <c r="H14" s="2">
        <f>'Input data'!H14</f>
        <v>0</v>
      </c>
      <c r="I14" s="2">
        <f>'Input data'!I14</f>
        <v>0</v>
      </c>
      <c r="J14" s="2">
        <f>'Input data'!J14</f>
        <v>0</v>
      </c>
      <c r="K14" s="2">
        <f>'Input data'!K14</f>
        <v>0</v>
      </c>
      <c r="L14" s="2">
        <f>'Input data'!L14</f>
        <v>0</v>
      </c>
      <c r="M14" s="2">
        <f>'Input data'!M14</f>
        <v>0</v>
      </c>
      <c r="N14" s="2">
        <f>'Input data'!N14</f>
        <v>0</v>
      </c>
      <c r="O14" s="2">
        <f>'Input data'!O14</f>
        <v>0</v>
      </c>
      <c r="P14" s="2">
        <f>'Input data'!P14</f>
        <v>0</v>
      </c>
      <c r="Q14" s="2">
        <f>'Input data'!Q14</f>
        <v>0</v>
      </c>
      <c r="R14" s="2">
        <f>'Input data'!R14</f>
        <v>0</v>
      </c>
      <c r="S14" s="2">
        <f>'Input data'!S14</f>
        <v>0</v>
      </c>
      <c r="T14" s="2">
        <f>'Input data'!T14</f>
        <v>0</v>
      </c>
      <c r="U14" s="2">
        <f>'Input data'!U14</f>
        <v>0</v>
      </c>
      <c r="V14" s="2">
        <f>'Input data'!V14</f>
        <v>0</v>
      </c>
      <c r="W14" s="2">
        <f>'Input data'!W14</f>
        <v>0</v>
      </c>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5"/>
    </row>
    <row r="15" spans="1:51" x14ac:dyDescent="0.2">
      <c r="B15" s="15" t="s">
        <v>56</v>
      </c>
      <c r="C15" s="1">
        <f>'Input data'!C15</f>
        <v>-1.281914</v>
      </c>
      <c r="D15" s="2">
        <f>'Input data'!D15</f>
        <v>-0.1772164</v>
      </c>
      <c r="E15" s="2">
        <f>'Input data'!E15</f>
        <v>0.44991419999999999</v>
      </c>
      <c r="F15" s="2">
        <f>'Input data'!F15</f>
        <v>0.53834850000000001</v>
      </c>
      <c r="G15" s="2">
        <f>'Input data'!G15</f>
        <v>-2.9597929999999999</v>
      </c>
      <c r="H15" s="2">
        <f>'Input data'!H15</f>
        <v>-0.14993809999999999</v>
      </c>
      <c r="I15" s="2">
        <f>'Input data'!I15</f>
        <v>0</v>
      </c>
      <c r="J15" s="2">
        <f>'Input data'!J15</f>
        <v>0</v>
      </c>
      <c r="K15" s="2">
        <f>'Input data'!K15</f>
        <v>0</v>
      </c>
      <c r="L15" s="2">
        <f>'Input data'!L15</f>
        <v>0</v>
      </c>
      <c r="M15" s="2">
        <f>'Input data'!M15</f>
        <v>0</v>
      </c>
      <c r="N15" s="2">
        <f>'Input data'!N15</f>
        <v>0</v>
      </c>
      <c r="O15" s="2">
        <f>'Input data'!O15</f>
        <v>0</v>
      </c>
      <c r="P15" s="2">
        <f>'Input data'!P15</f>
        <v>0</v>
      </c>
      <c r="Q15" s="2">
        <f>'Input data'!Q15</f>
        <v>0</v>
      </c>
      <c r="R15" s="2">
        <f>'Input data'!R15</f>
        <v>0</v>
      </c>
      <c r="S15" s="2">
        <f>'Input data'!S15</f>
        <v>0</v>
      </c>
      <c r="T15" s="2">
        <f>'Input data'!T15</f>
        <v>0</v>
      </c>
      <c r="U15" s="2">
        <f>'Input data'!U15</f>
        <v>0</v>
      </c>
      <c r="V15" s="2">
        <f>'Input data'!V15</f>
        <v>0</v>
      </c>
      <c r="W15" s="2">
        <f>'Input data'!W15</f>
        <v>0</v>
      </c>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5"/>
    </row>
    <row r="16" spans="1:51" ht="5.65" customHeight="1" x14ac:dyDescent="0.2">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row>
    <row r="17" spans="1:50" ht="11.25" customHeight="1" x14ac:dyDescent="0.2">
      <c r="B17" s="19" t="str">
        <f>'Input data'!B19</f>
        <v>Cost of ageing and selected public revenue (based on the Commission-Council 2024 Ageing Report ("AR 2024"))</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row>
    <row r="18" spans="1:50" x14ac:dyDescent="0.2">
      <c r="A18" s="46"/>
      <c r="B18" s="15" t="s">
        <v>30</v>
      </c>
      <c r="C18" s="1">
        <f>'Input data'!C20</f>
        <v>0</v>
      </c>
      <c r="D18" s="78">
        <f>'Input data'!D20</f>
        <v>18.219909999999999</v>
      </c>
      <c r="E18" s="78">
        <f>'Input data'!E20</f>
        <v>18.952970000000001</v>
      </c>
      <c r="F18" s="78">
        <f>'Input data'!F20</f>
        <v>19.35406</v>
      </c>
      <c r="G18" s="78">
        <f>'Input data'!G20</f>
        <v>19.583819999999999</v>
      </c>
      <c r="H18" s="78">
        <f>'Input data'!H20</f>
        <v>19.586649999999999</v>
      </c>
      <c r="I18" s="78">
        <f>'Input data'!I20</f>
        <v>19.528929999999999</v>
      </c>
      <c r="J18" s="78">
        <f>'Input data'!J20</f>
        <v>19.404509999999998</v>
      </c>
      <c r="K18" s="78">
        <f>'Input data'!K20</f>
        <v>19.248909999999999</v>
      </c>
      <c r="L18" s="78">
        <f>'Input data'!L20</f>
        <v>19.152539999999998</v>
      </c>
      <c r="M18" s="78">
        <f>'Input data'!M20</f>
        <v>19.062450000000002</v>
      </c>
      <c r="N18" s="78">
        <f>'Input data'!N20</f>
        <v>18.976300000000002</v>
      </c>
      <c r="O18" s="78">
        <f>'Input data'!O20</f>
        <v>18.882459999999998</v>
      </c>
      <c r="P18" s="78">
        <f>'Input data'!P20</f>
        <v>18.795970000000001</v>
      </c>
      <c r="Q18" s="78">
        <f>'Input data'!Q20</f>
        <v>18.711729999999999</v>
      </c>
      <c r="R18" s="78">
        <f>'Input data'!R20</f>
        <v>18.63429</v>
      </c>
      <c r="S18" s="78">
        <f>'Input data'!S20</f>
        <v>18.55209</v>
      </c>
      <c r="T18" s="78">
        <f>'Input data'!T20</f>
        <v>18.477730000000001</v>
      </c>
      <c r="U18" s="78">
        <f>'Input data'!U20</f>
        <v>18.429030000000001</v>
      </c>
      <c r="V18" s="78">
        <f>'Input data'!V20</f>
        <v>18.392010000000003</v>
      </c>
      <c r="W18" s="78">
        <f>'Input data'!W20</f>
        <v>18.392019999999999</v>
      </c>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row>
    <row r="19" spans="1:50" x14ac:dyDescent="0.2">
      <c r="A19" s="46"/>
      <c r="B19" s="15" t="s">
        <v>36</v>
      </c>
      <c r="C19" s="1">
        <f>'Input data'!C26</f>
        <v>0.9383785</v>
      </c>
      <c r="D19" s="78">
        <f>'Input data'!D26</f>
        <v>0.82850809999999997</v>
      </c>
      <c r="E19" s="78">
        <f>'Input data'!E26</f>
        <v>1.442963</v>
      </c>
      <c r="F19" s="78">
        <f>'Input data'!F26</f>
        <v>1.43533</v>
      </c>
      <c r="G19" s="78">
        <f>'Input data'!G26</f>
        <v>1.4276960000000001</v>
      </c>
      <c r="H19" s="78">
        <f>'Input data'!H26</f>
        <v>1.4200619999999999</v>
      </c>
      <c r="I19" s="78">
        <f>'Input data'!I26</f>
        <v>1.4124289999999999</v>
      </c>
      <c r="J19" s="78">
        <f>'Input data'!J26</f>
        <v>1.404795</v>
      </c>
      <c r="K19" s="78">
        <f>'Input data'!K26</f>
        <v>1.3971610000000001</v>
      </c>
      <c r="L19" s="78">
        <f>'Input data'!L26</f>
        <v>1.389527</v>
      </c>
      <c r="M19" s="78">
        <f>'Input data'!M26</f>
        <v>1.381894</v>
      </c>
      <c r="N19" s="78">
        <f>'Input data'!N26</f>
        <v>1.37426</v>
      </c>
      <c r="O19" s="78">
        <f>'Input data'!O26</f>
        <v>1.3666259999999999</v>
      </c>
      <c r="P19" s="78">
        <f>'Input data'!P26</f>
        <v>1.358992</v>
      </c>
      <c r="Q19" s="78">
        <f>'Input data'!Q26</f>
        <v>1.351359</v>
      </c>
      <c r="R19" s="78">
        <f>'Input data'!R26</f>
        <v>1.3437250000000001</v>
      </c>
      <c r="S19" s="78">
        <f>'Input data'!S26</f>
        <v>1.3360909999999999</v>
      </c>
      <c r="T19" s="78">
        <f>'Input data'!T26</f>
        <v>1.328457</v>
      </c>
      <c r="U19" s="78">
        <f>'Input data'!U26</f>
        <v>1.320824</v>
      </c>
      <c r="V19" s="78">
        <f>'Input data'!V26</f>
        <v>1.3131900000000001</v>
      </c>
      <c r="W19" s="78">
        <f>'Input data'!W26</f>
        <v>1.3055559999999999</v>
      </c>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row>
    <row r="21" spans="1:50" x14ac:dyDescent="0.2">
      <c r="B21" s="17" t="s">
        <v>57</v>
      </c>
    </row>
    <row r="22" spans="1:50" ht="10.5" customHeight="1" x14ac:dyDescent="0.2">
      <c r="B22" s="19" t="s">
        <v>58</v>
      </c>
    </row>
    <row r="23" spans="1:50" x14ac:dyDescent="0.2">
      <c r="B23" s="15" t="s">
        <v>39</v>
      </c>
      <c r="C23" s="23">
        <f>'Input data'!C31</f>
        <v>48.051119999999997</v>
      </c>
      <c r="D23" s="77">
        <f>'Baseline NFPC'!D22</f>
        <v>49.991797582802391</v>
      </c>
      <c r="E23" s="77">
        <f>'Baseline NFPC'!E22</f>
        <v>50.935053817790177</v>
      </c>
      <c r="F23" s="77">
        <f>'Baseline NFPC'!F22</f>
        <v>52.163405103711625</v>
      </c>
      <c r="G23" s="23">
        <f>IF(AND(G50&gt;1,F50&gt;1),
G27*(1+('Baseline NFPC'!G$29+G51)/100)-F23*$C$47*(G12-F12)/100,
IF(G50=1,G27,F23*(1+G52/100)))</f>
        <v>53.576010457648131</v>
      </c>
      <c r="H23" s="23">
        <f>IF(AND(H50&gt;1,G50&gt;1),
H27*(1+('Baseline NFPC'!H$29+H51)/100)-G23*$C$47*(H12-G12)/100,
IF(H50=1,H27,G23*(1+H52/100)))</f>
        <v>55.131460803100737</v>
      </c>
      <c r="I23" s="23">
        <f>IF(AND(I50&gt;1,H50&gt;1),
I27*(1+I51/100)-H23*$C$47*(I12-H12)/100,
IF(I50=1,I27,H23*(1+I52/100)))</f>
        <v>56.358705865274437</v>
      </c>
      <c r="J23" s="23">
        <f t="shared" ref="J23:W23" si="2">IF(AND(J50&gt;1,I50&gt;1),
J27*(1+J51/100)-I23*$C$47*(J12-I12)/100,
IF(J50=1,J27,I23*(1+J52/100)))</f>
        <v>57.447180150023414</v>
      </c>
      <c r="K23" s="23">
        <f t="shared" si="2"/>
        <v>58.556562752413562</v>
      </c>
      <c r="L23" s="23">
        <f t="shared" si="2"/>
        <v>59.713430799906597</v>
      </c>
      <c r="M23" s="23">
        <f t="shared" si="2"/>
        <v>60.810598808946686</v>
      </c>
      <c r="N23" s="23">
        <f t="shared" si="2"/>
        <v>61.870515992172862</v>
      </c>
      <c r="O23" s="23">
        <f t="shared" si="2"/>
        <v>62.883474310215391</v>
      </c>
      <c r="P23" s="23">
        <f t="shared" si="2"/>
        <v>63.893499242064927</v>
      </c>
      <c r="Q23" s="23">
        <f t="shared" si="2"/>
        <v>64.916413719010635</v>
      </c>
      <c r="R23" s="23">
        <f t="shared" si="2"/>
        <v>65.952309600962096</v>
      </c>
      <c r="S23" s="23">
        <f t="shared" si="2"/>
        <v>67.001297573242809</v>
      </c>
      <c r="T23" s="23">
        <f t="shared" si="2"/>
        <v>68.014130058151466</v>
      </c>
      <c r="U23" s="23">
        <f t="shared" si="2"/>
        <v>68.995285574979135</v>
      </c>
      <c r="V23" s="23">
        <f t="shared" si="2"/>
        <v>69.952270884489764</v>
      </c>
      <c r="W23" s="23">
        <f t="shared" si="2"/>
        <v>70.888252555082786</v>
      </c>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row>
    <row r="24" spans="1:50" x14ac:dyDescent="0.2">
      <c r="A24" s="46"/>
      <c r="B24" s="47" t="s">
        <v>38</v>
      </c>
      <c r="C24" s="23">
        <f>+'Input data'!C30</f>
        <v>7.7806240000000004</v>
      </c>
      <c r="D24" s="77">
        <f>'Baseline NFPC'!D23</f>
        <v>4.0387769999999996</v>
      </c>
      <c r="E24" s="77">
        <f>'Baseline NFPC'!E23</f>
        <v>1.886822</v>
      </c>
      <c r="F24" s="77">
        <f>'Baseline NFPC'!F23</f>
        <v>2.4116029999999999</v>
      </c>
      <c r="G24" s="23">
        <f t="shared" ref="G24:S24" si="3">100*(G23/F23-1)</f>
        <v>2.7080390000000065</v>
      </c>
      <c r="H24" s="23">
        <f t="shared" si="3"/>
        <v>2.9032589999999914</v>
      </c>
      <c r="I24" s="23">
        <f t="shared" si="3"/>
        <v>2.2260340000000101</v>
      </c>
      <c r="J24" s="23">
        <f t="shared" si="3"/>
        <v>1.9313329999999906</v>
      </c>
      <c r="K24" s="23">
        <f t="shared" si="3"/>
        <v>1.9311349999999949</v>
      </c>
      <c r="L24" s="23">
        <f t="shared" si="3"/>
        <v>1.9756419999999997</v>
      </c>
      <c r="M24" s="23">
        <f t="shared" si="3"/>
        <v>1.8373889999999893</v>
      </c>
      <c r="N24" s="23">
        <f t="shared" si="3"/>
        <v>1.7429810000000101</v>
      </c>
      <c r="O24" s="23">
        <f t="shared" si="3"/>
        <v>1.6372229999999988</v>
      </c>
      <c r="P24" s="23">
        <f t="shared" si="3"/>
        <v>1.6061850000000044</v>
      </c>
      <c r="Q24" s="23">
        <f t="shared" si="3"/>
        <v>1.6009680000000026</v>
      </c>
      <c r="R24" s="23">
        <f t="shared" si="3"/>
        <v>1.595737999999991</v>
      </c>
      <c r="S24" s="23">
        <f t="shared" si="3"/>
        <v>1.5905250000000093</v>
      </c>
      <c r="T24" s="23">
        <f>100*(T23/S23-1)</f>
        <v>1.5116609999999975</v>
      </c>
      <c r="U24" s="23">
        <f t="shared" ref="U24:W24" si="4">100*(U23/T23-1)</f>
        <v>1.4425759999999954</v>
      </c>
      <c r="V24" s="23">
        <f t="shared" si="4"/>
        <v>1.3870300000000002</v>
      </c>
      <c r="W24" s="23">
        <f t="shared" si="4"/>
        <v>1.3380289999999961</v>
      </c>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row>
    <row r="25" spans="1:50" ht="5.25" customHeight="1" x14ac:dyDescent="0.2">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row>
    <row r="26" spans="1:50" ht="15" x14ac:dyDescent="0.2">
      <c r="A26" s="158"/>
      <c r="B26" s="19" t="s">
        <v>59</v>
      </c>
      <c r="C26" s="157"/>
      <c r="D26" s="157"/>
      <c r="E26" s="157"/>
      <c r="F26" s="157"/>
    </row>
    <row r="27" spans="1:50" x14ac:dyDescent="0.2">
      <c r="B27" s="15" t="s">
        <v>39</v>
      </c>
      <c r="C27" s="23">
        <f>'Input data'!C34</f>
        <v>47.886940000000003</v>
      </c>
      <c r="D27" s="77">
        <f>+C27*(1+'Input data'!D33/100)</f>
        <v>49.136912682305208</v>
      </c>
      <c r="E27" s="77">
        <f>+D27*(1+'Input data'!E33/100)</f>
        <v>50.478286520545652</v>
      </c>
      <c r="F27" s="77">
        <f>+E27*(1+'Input data'!F33/100)</f>
        <v>52.074882417087132</v>
      </c>
      <c r="G27" s="23">
        <f>+F27*(1+'Input data'!G33/100)</f>
        <v>53.519957279668361</v>
      </c>
      <c r="H27" s="23">
        <f>+G27*(1+'Input data'!H33/100)</f>
        <v>54.825766633354206</v>
      </c>
      <c r="I27" s="23">
        <f>+H27*(1+'Input data'!I33/100)</f>
        <v>56.149989274321939</v>
      </c>
      <c r="J27" s="23">
        <f>+I27*(1+'Input data'!J33/100)</f>
        <v>57.340612737891014</v>
      </c>
      <c r="K27" s="23">
        <f>+J27*(1+'Input data'!K33/100)</f>
        <v>58.556569170518827</v>
      </c>
      <c r="L27" s="23">
        <f>+K27*(1+'Input data'!L33/100)</f>
        <v>59.713439101507724</v>
      </c>
      <c r="M27" s="23">
        <f>+L27*(1+'Input data'!M33/100)</f>
        <v>60.810606068811744</v>
      </c>
      <c r="N27" s="23">
        <f>+M27*(1+'Input data'!N33/100)</f>
        <v>61.870523986682045</v>
      </c>
      <c r="O27" s="23">
        <f>+N27*(1+'Input data'!O33/100)</f>
        <v>62.883481198202048</v>
      </c>
      <c r="P27" s="23">
        <f>+O27*(1+'Input data'!P33/100)</f>
        <v>63.893507498355007</v>
      </c>
      <c r="Q27" s="23">
        <f>+P27*(1+'Input data'!Q33/100)</f>
        <v>64.91642019067605</v>
      </c>
      <c r="R27" s="23">
        <f>+Q27*(1+'Input data'!R33/100)</f>
        <v>65.952319421719352</v>
      </c>
      <c r="S27" s="23">
        <f>+R27*(1+'Input data'!S33/100)</f>
        <v>67.001304912108864</v>
      </c>
      <c r="T27" s="23">
        <f>+S27*(1+'Input data'!T33/100)</f>
        <v>68.014137507956292</v>
      </c>
      <c r="U27" s="23">
        <f>+T27*(1+'Input data'!U33/100)</f>
        <v>68.995291771970329</v>
      </c>
      <c r="V27" s="23">
        <f>+U27*(1+'Input data'!V33/100)</f>
        <v>69.952275787529246</v>
      </c>
      <c r="W27" s="23">
        <f>+V27*(1+'Input data'!W33/100)</f>
        <v>70.888254725635335</v>
      </c>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row>
    <row r="28" spans="1:50" ht="5.25" customHeight="1" x14ac:dyDescent="0.2">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row>
    <row r="29" spans="1:50" x14ac:dyDescent="0.2">
      <c r="B29" s="19" t="s">
        <v>60</v>
      </c>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row>
    <row r="30" spans="1:50" x14ac:dyDescent="0.2">
      <c r="B30" s="15" t="s">
        <v>60</v>
      </c>
      <c r="C30" s="23">
        <f>100*(C23/C27-1)</f>
        <v>0.34284921943226188</v>
      </c>
      <c r="D30" s="77">
        <f t="shared" ref="D30:W30" si="5">100*(D23/D27-1)</f>
        <v>1.7398018186947306</v>
      </c>
      <c r="E30" s="77">
        <f t="shared" si="5"/>
        <v>0.9048787681384729</v>
      </c>
      <c r="F30" s="77">
        <f t="shared" si="5"/>
        <v>0.16999114067215437</v>
      </c>
      <c r="G30" s="23">
        <f t="shared" si="5"/>
        <v>0.10473322631194826</v>
      </c>
      <c r="H30" s="23">
        <f t="shared" si="5"/>
        <v>0.55757390825166286</v>
      </c>
      <c r="I30" s="23">
        <f t="shared" si="5"/>
        <v>0.37171261054531612</v>
      </c>
      <c r="J30" s="23">
        <f t="shared" si="5"/>
        <v>0.18584979658227141</v>
      </c>
      <c r="K30" s="23">
        <f t="shared" si="5"/>
        <v>-1.096052134608172E-5</v>
      </c>
      <c r="L30" s="23">
        <f t="shared" si="5"/>
        <v>-1.3902399953469313E-5</v>
      </c>
      <c r="M30" s="23">
        <f>100*(M23/M27-1)</f>
        <v>-1.1938484956175444E-5</v>
      </c>
      <c r="N30" s="23">
        <f t="shared" si="5"/>
        <v>-1.2921353609307573E-5</v>
      </c>
      <c r="O30" s="23">
        <f t="shared" si="5"/>
        <v>-1.0953570839244975E-5</v>
      </c>
      <c r="P30" s="23">
        <f t="shared" si="5"/>
        <v>-1.2921954672950875E-5</v>
      </c>
      <c r="Q30" s="23">
        <f t="shared" si="5"/>
        <v>-9.9692271993134796E-6</v>
      </c>
      <c r="R30" s="23">
        <f t="shared" si="5"/>
        <v>-1.4890692767721703E-5</v>
      </c>
      <c r="S30" s="23">
        <f t="shared" si="5"/>
        <v>-1.0953318096973419E-5</v>
      </c>
      <c r="T30" s="23">
        <f t="shared" si="5"/>
        <v>-1.0953318085871189E-5</v>
      </c>
      <c r="U30" s="23">
        <f t="shared" si="5"/>
        <v>-8.981759525017452E-6</v>
      </c>
      <c r="V30" s="23">
        <f t="shared" si="5"/>
        <v>-7.009120761569676E-6</v>
      </c>
      <c r="W30" s="23">
        <f t="shared" si="5"/>
        <v>-3.0619353719174569E-6</v>
      </c>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row>
    <row r="31" spans="1:50" ht="4.9000000000000004" customHeight="1" x14ac:dyDescent="0.2">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row>
    <row r="32" spans="1:50" x14ac:dyDescent="0.2">
      <c r="B32" s="19" t="s">
        <v>61</v>
      </c>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row>
    <row r="33" spans="2:51" x14ac:dyDescent="0.2">
      <c r="B33" s="15" t="s">
        <v>38</v>
      </c>
      <c r="C33" s="1">
        <f t="shared" ref="C33:W33" si="6">100*((1+C24/100)*(1+C42/100)-1)</f>
        <v>15.289300207964951</v>
      </c>
      <c r="D33" s="2">
        <f t="shared" si="6"/>
        <v>20.600033658579477</v>
      </c>
      <c r="E33" s="2">
        <f t="shared" si="6"/>
        <v>10.02167371759688</v>
      </c>
      <c r="F33" s="2">
        <f>100*((1+F24/100)*(1+F42/100)-1)</f>
        <v>7.3090364599912583</v>
      </c>
      <c r="G33" s="1">
        <f>100*((1+G24/100)*(1+G42/100)-1)</f>
        <v>5.0887435567142703</v>
      </c>
      <c r="H33" s="1">
        <f t="shared" si="6"/>
        <v>5.747001881823488</v>
      </c>
      <c r="I33" s="1">
        <f t="shared" si="6"/>
        <v>4.9982222075220406</v>
      </c>
      <c r="J33" s="1">
        <f t="shared" si="6"/>
        <v>4.6428422813012293</v>
      </c>
      <c r="K33" s="1">
        <f t="shared" si="6"/>
        <v>4.5899519572811576</v>
      </c>
      <c r="L33" s="1">
        <f t="shared" si="6"/>
        <v>4.5829098354953191</v>
      </c>
      <c r="M33" s="1">
        <f t="shared" si="6"/>
        <v>4.3884834436104248</v>
      </c>
      <c r="N33" s="1">
        <f t="shared" si="6"/>
        <v>4.2391206580407514</v>
      </c>
      <c r="O33" s="1">
        <f t="shared" si="6"/>
        <v>4.0782328776499455</v>
      </c>
      <c r="P33" s="1">
        <f t="shared" si="6"/>
        <v>3.9939303475000187</v>
      </c>
      <c r="Q33" s="1">
        <f t="shared" si="6"/>
        <v>3.9708105786000036</v>
      </c>
      <c r="R33" s="1">
        <f t="shared" si="6"/>
        <v>3.9476793346999939</v>
      </c>
      <c r="S33" s="1">
        <f t="shared" si="6"/>
        <v>3.9245673118750046</v>
      </c>
      <c r="T33" s="1">
        <f t="shared" si="6"/>
        <v>3.8261268707999951</v>
      </c>
      <c r="U33" s="1">
        <f>100*((1+U24/100)*(1+U42/100)-1)</f>
        <v>3.737714281999982</v>
      </c>
      <c r="V33" s="1">
        <f t="shared" si="6"/>
        <v>3.6631688235000182</v>
      </c>
      <c r="W33" s="1">
        <f t="shared" si="6"/>
        <v>3.5953335959749921</v>
      </c>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row>
    <row r="35" spans="2:51" x14ac:dyDescent="0.2">
      <c r="B35" s="17" t="s">
        <v>110</v>
      </c>
    </row>
    <row r="36" spans="2:51" x14ac:dyDescent="0.2">
      <c r="B36" s="15" t="s">
        <v>41</v>
      </c>
      <c r="C36" s="23">
        <f>'Input data'!C37</f>
        <v>2.2892730000000001</v>
      </c>
      <c r="D36" s="77">
        <f>'Input data'!D37</f>
        <v>1.9552499999999999</v>
      </c>
      <c r="E36" s="77">
        <f>'Input data'!E37</f>
        <v>2.4150100000000001</v>
      </c>
      <c r="F36" s="77">
        <f>'Input data'!F37</f>
        <v>2.7772610000000002</v>
      </c>
      <c r="G36" s="77">
        <f>'Input data'!G37</f>
        <v>2.4995349999999998</v>
      </c>
      <c r="H36" s="23">
        <f t="shared" ref="H36:W36" si="7">H101</f>
        <v>2.499554621800022</v>
      </c>
      <c r="I36" s="23">
        <f t="shared" si="7"/>
        <v>2.7926776612846349</v>
      </c>
      <c r="J36" s="23">
        <f t="shared" si="7"/>
        <v>3.0625941070404386</v>
      </c>
      <c r="K36" s="23">
        <f t="shared" si="7"/>
        <v>3.3033300896154638</v>
      </c>
      <c r="L36" s="23">
        <f t="shared" si="7"/>
        <v>3.5144344826625002</v>
      </c>
      <c r="M36" s="23">
        <f t="shared" si="7"/>
        <v>3.7029369986444638</v>
      </c>
      <c r="N36" s="23">
        <f t="shared" si="7"/>
        <v>3.8739409019417423</v>
      </c>
      <c r="O36" s="23">
        <f t="shared" si="7"/>
        <v>4.0312002888486678</v>
      </c>
      <c r="P36" s="23">
        <f t="shared" si="7"/>
        <v>4.1772448598488365</v>
      </c>
      <c r="Q36" s="23">
        <f t="shared" si="7"/>
        <v>4.2914684211837368</v>
      </c>
      <c r="R36" s="23">
        <f t="shared" si="7"/>
        <v>4.3816141772308947</v>
      </c>
      <c r="S36" s="23">
        <f t="shared" si="7"/>
        <v>4.4517008840901573</v>
      </c>
      <c r="T36" s="23">
        <f t="shared" si="7"/>
        <v>4.5048668274890122</v>
      </c>
      <c r="U36" s="23">
        <f t="shared" si="7"/>
        <v>4.5438201456468592</v>
      </c>
      <c r="V36" s="23">
        <f t="shared" si="7"/>
        <v>4.5708411285979125</v>
      </c>
      <c r="W36" s="23">
        <f t="shared" si="7"/>
        <v>4.5876708051906281</v>
      </c>
    </row>
    <row r="37" spans="2:51" x14ac:dyDescent="0.2">
      <c r="B37" s="21" t="s">
        <v>63</v>
      </c>
      <c r="C37" s="1"/>
      <c r="D37" s="2">
        <f>'Input data'!D$39</f>
        <v>1.53</v>
      </c>
      <c r="E37" s="2">
        <f>'Input data'!E$39</f>
        <v>3.75</v>
      </c>
      <c r="F37" s="137">
        <f>'Input data'!F$39</f>
        <v>3.9555020000000001</v>
      </c>
      <c r="G37" s="137">
        <f>'Input data'!G$39</f>
        <v>4.0576990000000004</v>
      </c>
      <c r="H37" s="137">
        <f>'Input data'!H$39</f>
        <v>4.1636879999999996</v>
      </c>
      <c r="I37" s="1">
        <f>'Baseline NFPC'!I36</f>
        <v>4.2805169999999997</v>
      </c>
      <c r="J37" s="1">
        <f>'Baseline NFPC'!J36</f>
        <v>4.3973459999999998</v>
      </c>
      <c r="K37" s="1">
        <f>'Baseline NFPC'!K36</f>
        <v>4.5141749999999998</v>
      </c>
      <c r="L37" s="1">
        <f>'Baseline NFPC'!L36</f>
        <v>4.6310039999999999</v>
      </c>
      <c r="M37" s="1">
        <f>'Baseline NFPC'!M36</f>
        <v>4.747833</v>
      </c>
      <c r="N37" s="1">
        <f>'Baseline NFPC'!N36</f>
        <v>4.864662</v>
      </c>
      <c r="O37" s="1">
        <f>'Baseline NFPC'!O36</f>
        <v>4.9814910000000001</v>
      </c>
      <c r="P37" s="178">
        <f>'Baseline NFPC'!P36</f>
        <v>5.0983200000000002</v>
      </c>
      <c r="Q37" s="1">
        <f>'Baseline NFPC'!Q36</f>
        <v>5.0434039999999998</v>
      </c>
      <c r="R37" s="1">
        <f>'Baseline NFPC'!R36</f>
        <v>4.9884880000000003</v>
      </c>
      <c r="S37" s="1">
        <f>'Baseline NFPC'!S36</f>
        <v>4.9335719999999998</v>
      </c>
      <c r="T37" s="1">
        <f>'Baseline NFPC'!T36</f>
        <v>4.8786560000000003</v>
      </c>
      <c r="U37" s="1">
        <f>'Baseline NFPC'!U36</f>
        <v>4.8237399999999999</v>
      </c>
      <c r="V37" s="1">
        <f>'Baseline NFPC'!V36</f>
        <v>4.7688240000000004</v>
      </c>
      <c r="W37" s="1">
        <f>'Baseline NFPC'!W36</f>
        <v>4.713908</v>
      </c>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5"/>
    </row>
    <row r="38" spans="2:51" x14ac:dyDescent="0.2">
      <c r="B38" s="21" t="s">
        <v>64</v>
      </c>
      <c r="C38" s="1"/>
      <c r="D38" s="2">
        <f>'Input data'!D$38</f>
        <v>0.19833329999999999</v>
      </c>
      <c r="E38" s="2">
        <f>'Input data'!E$38</f>
        <v>2.7915420000000002</v>
      </c>
      <c r="F38" s="137">
        <f>'Input data'!F$38</f>
        <v>2.8907919999999998</v>
      </c>
      <c r="G38" s="137">
        <f>'Input data'!G$38</f>
        <v>1.427792</v>
      </c>
      <c r="H38" s="137">
        <f>'Input data'!H$38</f>
        <v>1.3572919999999999</v>
      </c>
      <c r="I38" s="1">
        <f>'Baseline NFPC'!I37</f>
        <v>1.5327305</v>
      </c>
      <c r="J38" s="1">
        <f>'Baseline NFPC'!J37</f>
        <v>1.708169</v>
      </c>
      <c r="K38" s="1">
        <f>'Baseline NFPC'!K37</f>
        <v>1.8836075000000001</v>
      </c>
      <c r="L38" s="1">
        <f>'Baseline NFPC'!L37</f>
        <v>2.0590459999999999</v>
      </c>
      <c r="M38" s="1">
        <f>'Baseline NFPC'!M37</f>
        <v>2.2344844999999998</v>
      </c>
      <c r="N38" s="1">
        <f>'Baseline NFPC'!N37</f>
        <v>2.4099229999999996</v>
      </c>
      <c r="O38" s="1">
        <f>'Baseline NFPC'!O37</f>
        <v>2.5853614999999994</v>
      </c>
      <c r="P38" s="178">
        <f>'Baseline NFPC'!P37</f>
        <v>2.7608000000000001</v>
      </c>
      <c r="Q38" s="1">
        <f>'Baseline NFPC'!Q37</f>
        <v>2.7227600000000001</v>
      </c>
      <c r="R38" s="1">
        <f>'Baseline NFPC'!R37</f>
        <v>2.68472</v>
      </c>
      <c r="S38" s="1">
        <f>'Baseline NFPC'!S37</f>
        <v>2.6466799999999999</v>
      </c>
      <c r="T38" s="1">
        <f>'Baseline NFPC'!T37</f>
        <v>2.6086400000000003</v>
      </c>
      <c r="U38" s="1">
        <f>'Baseline NFPC'!U37</f>
        <v>2.5706000000000002</v>
      </c>
      <c r="V38" s="1">
        <f>'Baseline NFPC'!V37</f>
        <v>2.5325600000000001</v>
      </c>
      <c r="W38" s="1">
        <f>'Baseline NFPC'!W37</f>
        <v>2.4945200000000001</v>
      </c>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5"/>
    </row>
    <row r="39" spans="2:51" s="4" customFormat="1" ht="12.75" x14ac:dyDescent="0.2">
      <c r="B39" s="15" t="s">
        <v>65</v>
      </c>
      <c r="C39" s="23">
        <f>'Baseline NFPC'!C38</f>
        <v>2.5958220000000001E-2</v>
      </c>
      <c r="D39" s="23">
        <f>'Baseline NFPC'!D38</f>
        <v>8.3310770000000006E-2</v>
      </c>
      <c r="E39" s="23">
        <f>'Baseline NFPC'!E38</f>
        <v>7.2874809999999998E-2</v>
      </c>
      <c r="F39" s="23">
        <f>'Baseline NFPC'!F38</f>
        <v>8.0585989999999996E-2</v>
      </c>
      <c r="G39" s="23">
        <f>'Baseline NFPC'!G38</f>
        <v>7.8226323E-2</v>
      </c>
      <c r="H39" s="23">
        <f>'Baseline NFPC'!H38</f>
        <v>7.5866656000000005E-2</v>
      </c>
      <c r="I39" s="23">
        <f>'Baseline NFPC'!I38</f>
        <v>7.3506988999999995E-2</v>
      </c>
      <c r="J39" s="23">
        <f>'Baseline NFPC'!J38</f>
        <v>7.1147321999999999E-2</v>
      </c>
      <c r="K39" s="23">
        <f>'Baseline NFPC'!K38</f>
        <v>6.8787655000000003E-2</v>
      </c>
      <c r="L39" s="23">
        <f>'Baseline NFPC'!L38</f>
        <v>6.6427987999999993E-2</v>
      </c>
      <c r="M39" s="23">
        <f>'Baseline NFPC'!M38</f>
        <v>6.4068320999999998E-2</v>
      </c>
      <c r="N39" s="23">
        <f>'Baseline NFPC'!N38</f>
        <v>6.1708654000000002E-2</v>
      </c>
      <c r="O39" s="23">
        <f>'Baseline NFPC'!O38</f>
        <v>5.9348987000000006E-2</v>
      </c>
      <c r="P39" s="23">
        <f>'Baseline NFPC'!P38</f>
        <v>5.6989320000000003E-2</v>
      </c>
      <c r="Q39" s="23">
        <f>'Baseline NFPC'!Q38</f>
        <v>5.6989320000000003E-2</v>
      </c>
      <c r="R39" s="23">
        <f>'Baseline NFPC'!R38</f>
        <v>5.6989320000000003E-2</v>
      </c>
      <c r="S39" s="23">
        <f>'Baseline NFPC'!S38</f>
        <v>5.6989320000000003E-2</v>
      </c>
      <c r="T39" s="23">
        <f>'Baseline NFPC'!T38</f>
        <v>5.6989320000000003E-2</v>
      </c>
      <c r="U39" s="23">
        <f>'Baseline NFPC'!U38</f>
        <v>5.6989320000000003E-2</v>
      </c>
      <c r="V39" s="23">
        <f>'Baseline NFPC'!V38</f>
        <v>5.6989320000000003E-2</v>
      </c>
      <c r="W39" s="23">
        <f>'Baseline NFPC'!W38</f>
        <v>5.6989320000000003E-2</v>
      </c>
    </row>
    <row r="40" spans="2:51" x14ac:dyDescent="0.2">
      <c r="C40" s="1"/>
      <c r="D40" s="1"/>
      <c r="E40" s="81"/>
      <c r="F40" s="81"/>
      <c r="G40" s="81"/>
      <c r="H40" s="81"/>
      <c r="I40" s="81"/>
      <c r="J40" s="81"/>
      <c r="K40" s="81"/>
      <c r="L40" s="81"/>
      <c r="M40" s="81"/>
      <c r="N40" s="81"/>
      <c r="O40" s="1"/>
      <c r="P40" s="1"/>
      <c r="Q40" s="1"/>
      <c r="R40" s="1"/>
      <c r="S40" s="1"/>
      <c r="T40" s="1"/>
      <c r="U40" s="1"/>
      <c r="V40" s="1"/>
      <c r="W40" s="1"/>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5"/>
    </row>
    <row r="41" spans="2:51" x14ac:dyDescent="0.2">
      <c r="B41" s="17" t="s">
        <v>66</v>
      </c>
      <c r="C41" s="1"/>
      <c r="D41" s="1"/>
      <c r="E41" s="1"/>
      <c r="F41" s="1"/>
      <c r="G41" s="1"/>
      <c r="H41" s="1"/>
      <c r="I41" s="1"/>
      <c r="J41" s="1"/>
      <c r="K41" s="1"/>
      <c r="L41" s="1"/>
      <c r="M41" s="1"/>
      <c r="N41" s="1"/>
      <c r="O41" s="1"/>
      <c r="P41" s="1"/>
      <c r="Q41" s="1"/>
      <c r="R41" s="1"/>
      <c r="S41" s="1"/>
      <c r="T41" s="1"/>
      <c r="U41" s="1"/>
      <c r="V41" s="1"/>
      <c r="W41" s="1"/>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5"/>
    </row>
    <row r="42" spans="2:51" x14ac:dyDescent="0.2">
      <c r="B42" s="15" t="s">
        <v>111</v>
      </c>
      <c r="C42" s="1">
        <f>'Input data'!C42</f>
        <v>6.9666290000000002</v>
      </c>
      <c r="D42" s="2">
        <f>'Input data'!D42</f>
        <v>15.91835</v>
      </c>
      <c r="E42" s="2">
        <f>'Input data'!E42</f>
        <v>7.9842040000000001</v>
      </c>
      <c r="F42" s="2">
        <f>'Input data'!F42</f>
        <v>4.782108</v>
      </c>
      <c r="G42" s="2">
        <f>'Input data'!G42</f>
        <v>2.3179340000000002</v>
      </c>
      <c r="H42" s="2">
        <f>'Input data'!H42</f>
        <v>2.7635109999999998</v>
      </c>
      <c r="I42" s="1">
        <f>'Baseline NFPC'!I41</f>
        <v>2.7118221249999999</v>
      </c>
      <c r="J42" s="1">
        <f>'Baseline NFPC'!J41</f>
        <v>2.6601332499999999</v>
      </c>
      <c r="K42" s="1">
        <f>'Baseline NFPC'!K41</f>
        <v>2.6084443749999999</v>
      </c>
      <c r="L42" s="1">
        <f>'Baseline NFPC'!L41</f>
        <v>2.5567555</v>
      </c>
      <c r="M42" s="1">
        <f>'Baseline NFPC'!M41</f>
        <v>2.505066625</v>
      </c>
      <c r="N42" s="1">
        <f>'Baseline NFPC'!N41</f>
        <v>2.45337775</v>
      </c>
      <c r="O42" s="1">
        <f>'Baseline NFPC'!O41</f>
        <v>2.4016888750000001</v>
      </c>
      <c r="P42" s="178">
        <f>'Baseline NFPC'!P41</f>
        <v>2.35</v>
      </c>
      <c r="Q42" s="1">
        <f>'Baseline NFPC'!Q41</f>
        <v>2.3325</v>
      </c>
      <c r="R42" s="1">
        <f>'Baseline NFPC'!R41</f>
        <v>2.3149999999999999</v>
      </c>
      <c r="S42" s="1">
        <f>'Baseline NFPC'!S41</f>
        <v>2.2974999999999999</v>
      </c>
      <c r="T42" s="1">
        <f>'Baseline NFPC'!T41</f>
        <v>2.2800000000000002</v>
      </c>
      <c r="U42" s="1">
        <f>'Baseline NFPC'!U41</f>
        <v>2.2625000000000002</v>
      </c>
      <c r="V42" s="1">
        <f>'Baseline NFPC'!V41</f>
        <v>2.2450000000000001</v>
      </c>
      <c r="W42" s="1">
        <f>'Baseline NFPC'!W41</f>
        <v>2.2275</v>
      </c>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5"/>
    </row>
    <row r="43" spans="2:51" x14ac:dyDescent="0.2">
      <c r="B43" s="15" t="s">
        <v>67</v>
      </c>
      <c r="C43" s="1">
        <f>'Baseline NFPC'!C42</f>
        <v>0.99984269999999997</v>
      </c>
      <c r="D43" s="1">
        <f>'Baseline NFPC'!D42</f>
        <v>1.0005489999999999</v>
      </c>
      <c r="E43" s="1">
        <f>'Baseline NFPC'!E42</f>
        <v>0.99989380000000005</v>
      </c>
      <c r="F43" s="1">
        <f>'Baseline NFPC'!F42</f>
        <v>0.99997709999999995</v>
      </c>
      <c r="G43" s="1">
        <f>'Baseline NFPC'!G42</f>
        <v>1.000008</v>
      </c>
      <c r="H43" s="1">
        <f>'Baseline NFPC'!H42</f>
        <v>1</v>
      </c>
      <c r="I43" s="1">
        <f>'Baseline NFPC'!I42</f>
        <v>1</v>
      </c>
      <c r="J43" s="1">
        <f>'Baseline NFPC'!J42</f>
        <v>1</v>
      </c>
      <c r="K43" s="1">
        <f>'Baseline NFPC'!K42</f>
        <v>1</v>
      </c>
      <c r="L43" s="1">
        <f>'Baseline NFPC'!L42</f>
        <v>1</v>
      </c>
      <c r="M43" s="1">
        <f>'Baseline NFPC'!M42</f>
        <v>1</v>
      </c>
      <c r="N43" s="1">
        <f>'Baseline NFPC'!N42</f>
        <v>1</v>
      </c>
      <c r="O43" s="1">
        <f>'Baseline NFPC'!O42</f>
        <v>1</v>
      </c>
      <c r="P43" s="1">
        <f>'Baseline NFPC'!P42</f>
        <v>1</v>
      </c>
      <c r="Q43" s="1">
        <f>'Baseline NFPC'!Q42</f>
        <v>1</v>
      </c>
      <c r="R43" s="1">
        <f>'Baseline NFPC'!R42</f>
        <v>1</v>
      </c>
      <c r="S43" s="1">
        <f>'Baseline NFPC'!S42</f>
        <v>1</v>
      </c>
      <c r="T43" s="1">
        <f>'Baseline NFPC'!T42</f>
        <v>1</v>
      </c>
      <c r="U43" s="1">
        <f>'Baseline NFPC'!U42</f>
        <v>1</v>
      </c>
      <c r="V43" s="1">
        <f>'Baseline NFPC'!V42</f>
        <v>1</v>
      </c>
      <c r="W43" s="1">
        <f>'Baseline NFPC'!W42</f>
        <v>1</v>
      </c>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5"/>
    </row>
    <row r="44" spans="2:51" x14ac:dyDescent="0.2">
      <c r="C44" s="1"/>
      <c r="D44" s="1"/>
      <c r="E44" s="1"/>
      <c r="F44" s="1"/>
      <c r="G44" s="1"/>
      <c r="H44" s="1"/>
      <c r="I44" s="1"/>
      <c r="J44" s="1"/>
      <c r="K44" s="1"/>
      <c r="L44" s="1"/>
      <c r="M44" s="1"/>
      <c r="N44" s="1"/>
      <c r="O44" s="1"/>
      <c r="P44" s="1"/>
      <c r="Q44" s="1"/>
      <c r="R44" s="1"/>
      <c r="S44" s="1"/>
      <c r="T44" s="1"/>
      <c r="U44" s="1"/>
      <c r="V44" s="1"/>
      <c r="W44" s="1"/>
    </row>
    <row r="45" spans="2:51" s="52" customFormat="1" ht="12.75" x14ac:dyDescent="0.2">
      <c r="B45" s="60" t="s">
        <v>68</v>
      </c>
      <c r="C45" s="53"/>
    </row>
    <row r="46" spans="2:51" x14ac:dyDescent="0.2">
      <c r="C46" s="25"/>
    </row>
    <row r="47" spans="2:51" x14ac:dyDescent="0.2">
      <c r="B47" s="39" t="s">
        <v>46</v>
      </c>
      <c r="C47" s="40">
        <f>'Input data'!C49</f>
        <v>0.75</v>
      </c>
    </row>
    <row r="48" spans="2:51" x14ac:dyDescent="0.2">
      <c r="B48" s="41" t="s">
        <v>181</v>
      </c>
      <c r="C48" s="42">
        <f>'Input data'!C50</f>
        <v>0.29799999999999999</v>
      </c>
    </row>
    <row r="49" spans="2:48" x14ac:dyDescent="0.2">
      <c r="C49" s="43"/>
    </row>
    <row r="50" spans="2:48" outlineLevel="1" x14ac:dyDescent="0.2">
      <c r="B50" s="15" t="s">
        <v>69</v>
      </c>
      <c r="C50" s="23">
        <v>0</v>
      </c>
      <c r="D50" s="23">
        <f>IF(AND(ABS((D12-C12)-('Input data'!D13-'Input data'!C13))&gt;0.0001,ABS(D12-C12)&gt;0.0001,D$10&gt;$C$5),4,IF(C50=4,3,IF(C50=3,2,IF(C50=2,1,0))))</f>
        <v>0</v>
      </c>
      <c r="E50" s="23">
        <f>IF(AND(ABS((E12-D12)-('Input data'!E13-'Input data'!D13))&gt;0.0001,ABS(E12-D12)&gt;0.0001,E$10&gt;$C$5),4,IF(D50=4,3,IF(D50=3,2,IF(D50=2,1,0))))</f>
        <v>0</v>
      </c>
      <c r="F50" s="23">
        <f>IF(AND(ABS((F12-E12)-('Input data'!F13-'Input data'!E13))&gt;0.0001,ABS(F12-E12)&gt;0.0001,F$10&gt;$C$5),4,IF(E50=4,3,IF(E50=3,2,IF(E50=2,1,0))))</f>
        <v>0</v>
      </c>
      <c r="G50" s="23">
        <f>IF(AND(ABS((G12-F12)-('Baseline NFPC'!G12-'Baseline NFPC'!F12))&gt;0.0001,ABS(G12-F12)&gt;0.0001,G$10&gt;$C$5),4,IF(F50=4,3,IF(F50=3,2,IF(F50=2,1,0))))</f>
        <v>0</v>
      </c>
      <c r="H50" s="23">
        <f>IF(AND(ABS((H12-G12)-('Baseline NFPC'!H12-'Baseline NFPC'!G12))&gt;0.0001,ABS(H12-G12)&gt;0.0001,H$10&gt;$C$5),4,IF(G50=4,3,IF(G50=3,2,IF(G50=2,1,0))))</f>
        <v>0</v>
      </c>
      <c r="I50" s="23">
        <f>IF(AND(ABS((I12-H12)-('Baseline NFPC'!I12-'Baseline NFPC'!H12))&gt;0.0001,ABS(I12-H12)&gt;0.0001,I$10&gt;$C$5),4,IF(H50=4,3,IF(H50=3,2,IF(H50=2,1,0))))</f>
        <v>0</v>
      </c>
      <c r="J50" s="23">
        <f>IF(AND(ABS((J12-I12)-('Baseline NFPC'!J12-'Baseline NFPC'!I12))&gt;0.0001,ABS(J12-I12)&gt;0.0001,J$10&gt;$C$5),4,IF(I50=4,3,IF(I50=3,2,IF(I50=2,1,0))))</f>
        <v>0</v>
      </c>
      <c r="K50" s="23">
        <f>IF(AND(ABS((K12-J12)-('Baseline NFPC'!K12-'Baseline NFPC'!J12))&gt;0.0001,ABS(K12-J12)&gt;0.0001,K$10&gt;$C$5),4,IF(J50=4,3,IF(J50=3,2,IF(J50=2,1,0))))</f>
        <v>0</v>
      </c>
      <c r="L50" s="23">
        <f>IF(AND(ABS((L12-K12)-('Baseline NFPC'!L12-'Baseline NFPC'!K12))&gt;0.0001,ABS(L12-K12)&gt;0.0001,L$10&gt;$C$5),4,IF(K50=4,3,IF(K50=3,2,IF(K50=2,1,0))))</f>
        <v>0</v>
      </c>
      <c r="M50" s="23">
        <f>IF(AND(ABS((M12-L12)-('Baseline NFPC'!M12-'Baseline NFPC'!L12))&gt;0.0001,ABS(M12-L12)&gt;0.0001,M$10&gt;$C$5),4,IF(L50=4,3,IF(L50=3,2,IF(L50=2,1,0))))</f>
        <v>0</v>
      </c>
      <c r="N50" s="23">
        <f>IF(AND(ABS((N12-M12)-('Baseline NFPC'!N12-'Baseline NFPC'!M12))&gt;0.0001,ABS(N12-M12)&gt;0.0001,N$10&gt;$C$5),4,IF(M50=4,3,IF(M50=3,2,IF(M50=2,1,0))))</f>
        <v>0</v>
      </c>
      <c r="O50" s="23">
        <f>IF(AND(ABS((O12-N12)-('Baseline NFPC'!O12-'Baseline NFPC'!N12))&gt;0.0001,ABS(O12-N12)&gt;0.0001,O$10&gt;$C$5),4,IF(N50=4,3,IF(N50=3,2,IF(N50=2,1,0))))</f>
        <v>0</v>
      </c>
      <c r="P50" s="23">
        <f>IF(AND(ABS((P12-O12)-('Baseline NFPC'!P12-'Baseline NFPC'!O12))&gt;0.0001,ABS(P12-O12)&gt;0.0001,P$10&gt;$C$5),4,IF(O50=4,3,IF(O50=3,2,IF(O50=2,1,0))))</f>
        <v>0</v>
      </c>
      <c r="Q50" s="23">
        <f>IF(AND(ABS((Q12-P12)-('Baseline NFPC'!Q12-'Baseline NFPC'!P12))&gt;0.0001,ABS(Q12-P12)&gt;0.0001,Q$10&gt;$C$5),4,IF(P50=4,3,IF(P50=3,2,IF(P50=2,1,0))))</f>
        <v>0</v>
      </c>
      <c r="R50" s="23">
        <f>IF(AND(ABS((R12-Q12)-('Baseline NFPC'!R12-'Baseline NFPC'!Q12))&gt;0.0001,ABS(R12-Q12)&gt;0.0001,R$10&gt;$C$5),4,IF(Q50=4,3,IF(Q50=3,2,IF(Q50=2,1,0))))</f>
        <v>0</v>
      </c>
      <c r="S50" s="23">
        <f>IF(AND(ABS((S12-R12)-('Baseline NFPC'!S12-'Baseline NFPC'!R12))&gt;0.0001,ABS(S12-R12)&gt;0.0001,S$10&gt;$C$5),4,IF(R50=4,3,IF(R50=3,2,IF(R50=2,1,0))))</f>
        <v>0</v>
      </c>
      <c r="T50" s="23">
        <f>IF(AND(ABS((T12-S12)-('Baseline NFPC'!T12-'Baseline NFPC'!S12))&gt;0.0001,ABS(T12-S12)&gt;0.0001,T$10&gt;$C$5),4,IF(S50=4,3,IF(S50=3,2,IF(S50=2,1,0))))</f>
        <v>0</v>
      </c>
      <c r="U50" s="23">
        <f>IF(AND(ABS((U12-T12)-('Baseline NFPC'!U12-'Baseline NFPC'!T12))&gt;0.0001,ABS(U12-T12)&gt;0.0001,U$10&gt;$C$5),4,IF(T50=4,3,IF(T50=3,2,IF(T50=2,1,0))))</f>
        <v>0</v>
      </c>
      <c r="V50" s="23">
        <f>IF(AND(ABS((V12-U12)-('Baseline NFPC'!V12-'Baseline NFPC'!U12))&gt;0.0001,ABS(V12-U12)&gt;0.0001,V$10&gt;$C$5),4,IF(U50=4,3,IF(U50=3,2,IF(U50=2,1,0))))</f>
        <v>0</v>
      </c>
      <c r="W50" s="23">
        <f>IF(AND(ABS((W12-V12)-('Baseline NFPC'!W12-'Baseline NFPC'!V12))&gt;0.0001,ABS(W12-V12)&gt;0.0001,W$10&gt;$C$5),4,IF(V50=4,3,IF(V50=3,2,IF(V50=2,1,0))))</f>
        <v>0</v>
      </c>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row>
    <row r="51" spans="2:48" outlineLevel="1" x14ac:dyDescent="0.2">
      <c r="B51" s="15" t="s">
        <v>70</v>
      </c>
      <c r="C51" s="23">
        <v>0</v>
      </c>
      <c r="D51" s="23">
        <v>0</v>
      </c>
      <c r="E51" s="23">
        <f>IF(D50=4,2/3*(D30-'Baseline NFPC'!D29),IF(D50=3,1/3*(C30-'Baseline NFPC'!C29),0))</f>
        <v>0</v>
      </c>
      <c r="F51" s="23">
        <f>IF(E50=4,2/3*(E30-'Baseline NFPC'!E29),IF(E50=3,1/3*(D30-'Baseline NFPC'!D29),0))</f>
        <v>0</v>
      </c>
      <c r="G51" s="23">
        <f>IF(F50=4,2/3*(F30-'Baseline NFPC'!F29),IF(F50=3,1/3*(E30-'Baseline NFPC'!E29),0))</f>
        <v>0</v>
      </c>
      <c r="H51" s="23">
        <f>IF(G50=4,2/3*(G30-'Baseline NFPC'!G29),IF(G50=3,1/3*(F30-'Baseline NFPC'!F29),0))</f>
        <v>0</v>
      </c>
      <c r="I51" s="23">
        <f>IF(H50=4,2/3*H30,IF(H50=3,1/3*G30,0))</f>
        <v>0</v>
      </c>
      <c r="J51" s="23">
        <f t="shared" ref="J51:W51" si="8">IF(I50=4,2/3*I30,IF(I50=3,1/3*H30,0))</f>
        <v>0</v>
      </c>
      <c r="K51" s="23">
        <f t="shared" si="8"/>
        <v>0</v>
      </c>
      <c r="L51" s="23">
        <f t="shared" si="8"/>
        <v>0</v>
      </c>
      <c r="M51" s="23">
        <f t="shared" si="8"/>
        <v>0</v>
      </c>
      <c r="N51" s="23">
        <f t="shared" si="8"/>
        <v>0</v>
      </c>
      <c r="O51" s="23">
        <f t="shared" si="8"/>
        <v>0</v>
      </c>
      <c r="P51" s="23">
        <f t="shared" si="8"/>
        <v>0</v>
      </c>
      <c r="Q51" s="23">
        <f t="shared" si="8"/>
        <v>0</v>
      </c>
      <c r="R51" s="23">
        <f t="shared" si="8"/>
        <v>0</v>
      </c>
      <c r="S51" s="23">
        <f t="shared" si="8"/>
        <v>0</v>
      </c>
      <c r="T51" s="23">
        <f t="shared" si="8"/>
        <v>0</v>
      </c>
      <c r="U51" s="23">
        <f t="shared" si="8"/>
        <v>0</v>
      </c>
      <c r="V51" s="23">
        <f t="shared" si="8"/>
        <v>0</v>
      </c>
      <c r="W51" s="23">
        <f t="shared" si="8"/>
        <v>0</v>
      </c>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row>
    <row r="52" spans="2:48" outlineLevel="1" x14ac:dyDescent="0.2">
      <c r="B52" s="15" t="s">
        <v>71</v>
      </c>
      <c r="C52" s="23"/>
      <c r="D52" s="23">
        <f>'Input data'!D30-$C$47*((D12-C12)-('Input data'!D13-'Input data'!C13))</f>
        <v>4.0387769999999996</v>
      </c>
      <c r="E52" s="23">
        <f>'Input data'!E30-$C$47*((E12-D12)-('Input data'!E13-'Input data'!D13))</f>
        <v>1.886822</v>
      </c>
      <c r="F52" s="23">
        <f>'Input data'!F30-$C$47*((F12-E12)-('Input data'!F13-'Input data'!E13))</f>
        <v>2.4116029999999999</v>
      </c>
      <c r="G52" s="23">
        <f>'Input data'!G30-$C$47*(G12-F12)</f>
        <v>2.7080389999999999</v>
      </c>
      <c r="H52" s="23">
        <f>'Input data'!H30-$C$47*(H12-G12)</f>
        <v>2.9032589999999998</v>
      </c>
      <c r="I52" s="23">
        <f>'Input data'!I30-$C$47*(I12-H12)</f>
        <v>2.2260339999999998</v>
      </c>
      <c r="J52" s="23">
        <f>'Input data'!J30-$C$47*(J12-I12)</f>
        <v>1.931333</v>
      </c>
      <c r="K52" s="23">
        <f>'Input data'!K30-$C$47*(K12-J12)</f>
        <v>1.931135</v>
      </c>
      <c r="L52" s="23">
        <f>'Input data'!L30-$C$47*(L12-K12)</f>
        <v>1.9756419999999999</v>
      </c>
      <c r="M52" s="23">
        <f>'Input data'!M30-$C$47*(M12-L12)</f>
        <v>1.8373889999999999</v>
      </c>
      <c r="N52" s="23">
        <f>'Input data'!N30-$C$47*(N12-M12)</f>
        <v>1.7429809999999999</v>
      </c>
      <c r="O52" s="23">
        <f>'Input data'!O30-$C$47*(O12-N12)</f>
        <v>1.6372230000000001</v>
      </c>
      <c r="P52" s="23">
        <f>'Input data'!P30-$C$47*(P12-O12)</f>
        <v>1.606185</v>
      </c>
      <c r="Q52" s="23">
        <f>'Input data'!Q30-$C$47*(Q12-P12)</f>
        <v>1.6009679999999999</v>
      </c>
      <c r="R52" s="23">
        <f>'Input data'!R30-$C$47*(R12-Q12)</f>
        <v>1.5957380000000001</v>
      </c>
      <c r="S52" s="23">
        <f>'Input data'!S30-$C$47*(S12-R12)</f>
        <v>1.590525</v>
      </c>
      <c r="T52" s="23">
        <f>'Input data'!T30-$C$47*(T12-S12)</f>
        <v>1.5116609999999999</v>
      </c>
      <c r="U52" s="23">
        <f>'Input data'!U30-$C$47*(U12-T12)</f>
        <v>1.4425760000000001</v>
      </c>
      <c r="V52" s="23">
        <f>'Input data'!V30-$C$47*(V12-U12)</f>
        <v>1.38703</v>
      </c>
      <c r="W52" s="23">
        <f>'Input data'!W30-$C$47*(W12-V12)</f>
        <v>1.3380289999999999</v>
      </c>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row>
    <row r="53" spans="2:48" x14ac:dyDescent="0.2">
      <c r="C53" s="25"/>
    </row>
    <row r="54" spans="2:48" s="52" customFormat="1" ht="12.75" outlineLevel="1" x14ac:dyDescent="0.2">
      <c r="B54" s="57" t="s">
        <v>72</v>
      </c>
      <c r="C54" s="54"/>
      <c r="E54" s="55"/>
      <c r="F54" s="54"/>
    </row>
    <row r="55" spans="2:48" outlineLevel="1" x14ac:dyDescent="0.2">
      <c r="B55" s="30"/>
      <c r="C55" s="18"/>
      <c r="E55" s="31"/>
      <c r="F55" s="18"/>
    </row>
    <row r="56" spans="2:48" outlineLevel="1" x14ac:dyDescent="0.2">
      <c r="B56" s="65"/>
      <c r="C56" s="66">
        <v>2021</v>
      </c>
      <c r="D56" s="66">
        <v>2022</v>
      </c>
      <c r="E56" s="66">
        <v>2023</v>
      </c>
      <c r="F56" s="66">
        <v>2024</v>
      </c>
      <c r="G56" s="66">
        <v>2025</v>
      </c>
      <c r="H56" s="66">
        <v>2026</v>
      </c>
      <c r="I56" s="66">
        <v>2027</v>
      </c>
      <c r="J56" s="66">
        <v>2028</v>
      </c>
      <c r="K56" s="66">
        <v>2029</v>
      </c>
      <c r="L56" s="66">
        <v>2030</v>
      </c>
      <c r="M56" s="66">
        <v>2031</v>
      </c>
      <c r="N56" s="66">
        <v>2032</v>
      </c>
      <c r="O56" s="66">
        <v>2033</v>
      </c>
      <c r="P56" s="66">
        <v>2034</v>
      </c>
      <c r="Q56" s="66">
        <v>2035</v>
      </c>
      <c r="R56" s="66">
        <v>2036</v>
      </c>
      <c r="S56" s="66">
        <v>2037</v>
      </c>
      <c r="T56" s="66">
        <v>2038</v>
      </c>
      <c r="U56" s="66">
        <v>2039</v>
      </c>
      <c r="V56" s="66">
        <v>2040</v>
      </c>
      <c r="W56" s="66">
        <v>2041</v>
      </c>
    </row>
    <row r="57" spans="2:48" ht="10.5" customHeight="1" outlineLevel="1" x14ac:dyDescent="0.2">
      <c r="B57" s="67" t="s">
        <v>73</v>
      </c>
      <c r="C57" s="32">
        <f>+'Input data'!C12</f>
        <v>23.835270000000001</v>
      </c>
      <c r="D57" s="32">
        <f>+C57+D58</f>
        <v>22.482045858028972</v>
      </c>
      <c r="E57" s="32">
        <f>+D57+E58</f>
        <v>22.884294685123706</v>
      </c>
      <c r="F57" s="32">
        <f>+E57+F58</f>
        <v>24.494983925203403</v>
      </c>
      <c r="G57" s="32">
        <f>+F57+G58</f>
        <v>22.990594623762441</v>
      </c>
      <c r="H57" s="32">
        <f t="shared" ref="H57:S57" si="9">+G57+H58</f>
        <v>24.058397923368716</v>
      </c>
      <c r="I57" s="32">
        <f t="shared" si="9"/>
        <v>25.532197882038222</v>
      </c>
      <c r="J57" s="32">
        <f t="shared" si="9"/>
        <v>27.181173989104558</v>
      </c>
      <c r="K57" s="32">
        <f t="shared" si="9"/>
        <v>28.788769815361711</v>
      </c>
      <c r="L57" s="32">
        <f t="shared" si="9"/>
        <v>30.347880375367456</v>
      </c>
      <c r="M57" s="32">
        <f t="shared" si="9"/>
        <v>31.91935247344211</v>
      </c>
      <c r="N57" s="32">
        <f t="shared" si="9"/>
        <v>33.499788610253631</v>
      </c>
      <c r="O57" s="32">
        <f t="shared" si="9"/>
        <v>35.090702437310647</v>
      </c>
      <c r="P57" s="32">
        <f t="shared" si="9"/>
        <v>36.67975515775418</v>
      </c>
      <c r="Q57" s="32">
        <f t="shared" si="9"/>
        <v>38.243468678541042</v>
      </c>
      <c r="R57" s="32">
        <f t="shared" si="9"/>
        <v>39.783902409391573</v>
      </c>
      <c r="S57" s="32">
        <f t="shared" si="9"/>
        <v>41.291914409183107</v>
      </c>
      <c r="T57" s="32">
        <f>+S57+T58</f>
        <v>42.801342278270866</v>
      </c>
      <c r="U57" s="32">
        <f>+T57+U58</f>
        <v>44.332358717470015</v>
      </c>
      <c r="V57" s="32">
        <f t="shared" ref="V57:W57" si="10">+U57+V58</f>
        <v>45.889568912260287</v>
      </c>
      <c r="W57" s="32">
        <f t="shared" si="10"/>
        <v>47.505823901757658</v>
      </c>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row>
    <row r="58" spans="2:48" outlineLevel="1" x14ac:dyDescent="0.2">
      <c r="B58" s="68" t="s">
        <v>74</v>
      </c>
      <c r="C58" s="33"/>
      <c r="D58" s="33">
        <f>-D59+D67+D72</f>
        <v>-1.3532241419710298</v>
      </c>
      <c r="E58" s="33">
        <f>-E59+E67+E72</f>
        <v>0.40224882709473497</v>
      </c>
      <c r="F58" s="33">
        <f>-F59+F67+F72</f>
        <v>1.6106892400796977</v>
      </c>
      <c r="G58" s="33">
        <f>-G59+G67+G72</f>
        <v>-1.5043893014409619</v>
      </c>
      <c r="H58" s="33">
        <f t="shared" ref="H58:S58" si="11">-H59+H67+H72</f>
        <v>1.0678032996062765</v>
      </c>
      <c r="I58" s="33">
        <f t="shared" si="11"/>
        <v>1.4737999586695072</v>
      </c>
      <c r="J58" s="33">
        <f t="shared" si="11"/>
        <v>1.6489761070663345</v>
      </c>
      <c r="K58" s="33">
        <f t="shared" si="11"/>
        <v>1.6075958262571532</v>
      </c>
      <c r="L58" s="33">
        <f t="shared" si="11"/>
        <v>1.5591105600057458</v>
      </c>
      <c r="M58" s="33">
        <f t="shared" si="11"/>
        <v>1.5714720980746559</v>
      </c>
      <c r="N58" s="33">
        <f t="shared" si="11"/>
        <v>1.5804361368115214</v>
      </c>
      <c r="O58" s="33">
        <f t="shared" si="11"/>
        <v>1.590913827057018</v>
      </c>
      <c r="P58" s="33">
        <f t="shared" si="11"/>
        <v>1.5890527204435303</v>
      </c>
      <c r="Q58" s="33">
        <f t="shared" si="11"/>
        <v>1.5637135207868642</v>
      </c>
      <c r="R58" s="33">
        <f t="shared" si="11"/>
        <v>1.5404337308505318</v>
      </c>
      <c r="S58" s="33">
        <f t="shared" si="11"/>
        <v>1.5080119997915344</v>
      </c>
      <c r="T58" s="33">
        <f>-T59+T67+T72</f>
        <v>1.5094278690877556</v>
      </c>
      <c r="U58" s="33">
        <f t="shared" ref="U58:W58" si="12">-U59+U67+U72</f>
        <v>1.531016439199147</v>
      </c>
      <c r="V58" s="33">
        <f t="shared" si="12"/>
        <v>1.5572101947902746</v>
      </c>
      <c r="W58" s="33">
        <f t="shared" si="12"/>
        <v>1.6162549894973739</v>
      </c>
    </row>
    <row r="59" spans="2:48" outlineLevel="1" x14ac:dyDescent="0.2">
      <c r="B59" s="64" t="s">
        <v>75</v>
      </c>
      <c r="C59" s="34"/>
      <c r="D59" s="34">
        <f>D60+D61-D62-D63-D64-D65-D66</f>
        <v>-2.4978640580289704</v>
      </c>
      <c r="E59" s="34">
        <f>E60+E61-E62-E63-E64-E65-E66</f>
        <v>-1.508917127094735</v>
      </c>
      <c r="F59" s="34">
        <f t="shared" ref="F59:R59" si="13">F60+F61-F62-F63-F64-F65-F66</f>
        <v>-2.0392726400796977</v>
      </c>
      <c r="G59" s="34">
        <f t="shared" si="13"/>
        <v>-2.0587194985590394</v>
      </c>
      <c r="H59" s="34">
        <f t="shared" si="13"/>
        <v>-1.9237729753410042</v>
      </c>
      <c r="I59" s="34">
        <f t="shared" si="13"/>
        <v>-1.9791596420574957</v>
      </c>
      <c r="J59" s="34">
        <f t="shared" si="13"/>
        <v>-2.0345467606184831</v>
      </c>
      <c r="K59" s="34">
        <f t="shared" si="13"/>
        <v>-1.9419672662353613</v>
      </c>
      <c r="L59" s="34">
        <f t="shared" si="13"/>
        <v>-1.8532321429151859</v>
      </c>
      <c r="M59" s="34">
        <f t="shared" si="13"/>
        <v>-1.7707745576685205</v>
      </c>
      <c r="N59" s="34">
        <f t="shared" si="13"/>
        <v>-1.6922588505633791</v>
      </c>
      <c r="O59" s="34">
        <f t="shared" si="13"/>
        <v>-1.60605226416411</v>
      </c>
      <c r="P59" s="34">
        <f t="shared" si="13"/>
        <v>-1.5271968507424944</v>
      </c>
      <c r="Q59" s="34">
        <f t="shared" si="13"/>
        <v>-1.4505889708297062</v>
      </c>
      <c r="R59" s="34">
        <f t="shared" si="13"/>
        <v>-1.3807844374264464</v>
      </c>
      <c r="S59" s="34">
        <f>S60+S61-S62-S63-S64-S65-S66</f>
        <v>-1.3062172640887943</v>
      </c>
      <c r="T59" s="34">
        <f>T60+T61-T62-T63-T64-T65-T66</f>
        <v>-1.2394912640887921</v>
      </c>
      <c r="U59" s="34">
        <f>U60+U61-U62-U63-U64-U65-U66</f>
        <v>-1.198423676564341</v>
      </c>
      <c r="V59" s="34">
        <f t="shared" ref="V59:W59" si="14">V60+V61-V62-V63-V64-V65-V66</f>
        <v>-1.1690370887179911</v>
      </c>
      <c r="W59" s="34">
        <f t="shared" si="14"/>
        <v>-1.1766799124567411</v>
      </c>
    </row>
    <row r="60" spans="2:48" outlineLevel="1" x14ac:dyDescent="0.2">
      <c r="B60" s="63" t="s">
        <v>76</v>
      </c>
      <c r="C60" s="1"/>
      <c r="D60" s="1">
        <f>D12</f>
        <v>-3.0163250000000001</v>
      </c>
      <c r="E60" s="1">
        <f>E12</f>
        <v>-1.7785709999999999</v>
      </c>
      <c r="F60" s="1">
        <f>F12</f>
        <v>-2.0899299999999998</v>
      </c>
      <c r="G60" s="1">
        <f t="shared" ref="G60:W60" si="15">IF(G12="",F60,G12)</f>
        <v>-2.0899299999999998</v>
      </c>
      <c r="H60" s="1">
        <f t="shared" si="15"/>
        <v>-2.0899299999999998</v>
      </c>
      <c r="I60" s="1">
        <f t="shared" si="15"/>
        <v>-2.0899299999999998</v>
      </c>
      <c r="J60" s="1">
        <f t="shared" si="15"/>
        <v>-2.0899299999999998</v>
      </c>
      <c r="K60" s="1">
        <f t="shared" si="15"/>
        <v>-2.0899299999999998</v>
      </c>
      <c r="L60" s="1">
        <f t="shared" si="15"/>
        <v>-2.0899299999999998</v>
      </c>
      <c r="M60" s="1">
        <f t="shared" si="15"/>
        <v>-2.0899299999999998</v>
      </c>
      <c r="N60" s="1">
        <f t="shared" si="15"/>
        <v>-2.0899299999999998</v>
      </c>
      <c r="O60" s="1">
        <f t="shared" si="15"/>
        <v>-2.0899299999999998</v>
      </c>
      <c r="P60" s="1">
        <f t="shared" si="15"/>
        <v>-2.0899299999999998</v>
      </c>
      <c r="Q60" s="1">
        <f t="shared" si="15"/>
        <v>-2.0899299999999998</v>
      </c>
      <c r="R60" s="1">
        <f t="shared" si="15"/>
        <v>-2.0899299999999998</v>
      </c>
      <c r="S60" s="1">
        <f t="shared" si="15"/>
        <v>-2.0899299999999998</v>
      </c>
      <c r="T60" s="1">
        <f t="shared" si="15"/>
        <v>-2.0899299999999998</v>
      </c>
      <c r="U60" s="1">
        <f t="shared" si="15"/>
        <v>-2.0899299999999998</v>
      </c>
      <c r="V60" s="1">
        <f t="shared" si="15"/>
        <v>-2.0899299999999998</v>
      </c>
      <c r="W60" s="1">
        <f t="shared" si="15"/>
        <v>-2.0899299999999998</v>
      </c>
    </row>
    <row r="61" spans="2:48" outlineLevel="1" x14ac:dyDescent="0.2">
      <c r="B61" s="63" t="s">
        <v>77</v>
      </c>
      <c r="C61" s="1"/>
      <c r="D61" s="1">
        <v>0</v>
      </c>
      <c r="E61" s="1">
        <v>0</v>
      </c>
      <c r="F61" s="1">
        <v>0</v>
      </c>
      <c r="G61" s="1">
        <v>0</v>
      </c>
      <c r="H61" s="1">
        <v>0</v>
      </c>
      <c r="I61" s="1">
        <v>0</v>
      </c>
      <c r="J61" s="1">
        <v>0</v>
      </c>
      <c r="K61" s="1">
        <v>0</v>
      </c>
      <c r="L61" s="1">
        <v>0</v>
      </c>
      <c r="M61" s="1">
        <v>0</v>
      </c>
      <c r="N61" s="1">
        <v>0</v>
      </c>
      <c r="O61" s="1">
        <v>0</v>
      </c>
      <c r="P61" s="1">
        <v>0</v>
      </c>
      <c r="Q61" s="1">
        <v>0</v>
      </c>
      <c r="R61" s="1">
        <v>0</v>
      </c>
      <c r="S61" s="1">
        <v>0</v>
      </c>
      <c r="T61" s="1">
        <v>0</v>
      </c>
      <c r="U61" s="1">
        <v>0</v>
      </c>
      <c r="V61" s="1">
        <v>0</v>
      </c>
      <c r="W61" s="1">
        <v>0</v>
      </c>
    </row>
    <row r="62" spans="2:48" outlineLevel="1" x14ac:dyDescent="0.2">
      <c r="B62" s="63" t="s">
        <v>78</v>
      </c>
      <c r="C62" s="1"/>
      <c r="D62" s="1">
        <f t="shared" ref="D62:W62" si="16">-$C$48*D30</f>
        <v>-0.51846094197102965</v>
      </c>
      <c r="E62" s="1">
        <f t="shared" si="16"/>
        <v>-0.26965387290526494</v>
      </c>
      <c r="F62" s="1">
        <f t="shared" si="16"/>
        <v>-5.0657359920302E-2</v>
      </c>
      <c r="G62" s="1">
        <f t="shared" si="16"/>
        <v>-3.1210501440960579E-2</v>
      </c>
      <c r="H62" s="1">
        <f t="shared" si="16"/>
        <v>-0.16615702465899554</v>
      </c>
      <c r="I62" s="1">
        <f t="shared" si="16"/>
        <v>-0.1107703579425042</v>
      </c>
      <c r="J62" s="1">
        <f t="shared" si="16"/>
        <v>-5.5383239381516874E-2</v>
      </c>
      <c r="K62" s="1">
        <f t="shared" si="16"/>
        <v>3.2662353611323523E-6</v>
      </c>
      <c r="L62" s="1">
        <f t="shared" si="16"/>
        <v>4.1429151861338553E-6</v>
      </c>
      <c r="M62" s="1">
        <f>-$C$48*M30</f>
        <v>3.5576685169402819E-6</v>
      </c>
      <c r="N62" s="1">
        <f t="shared" si="16"/>
        <v>3.8505633755736563E-6</v>
      </c>
      <c r="O62" s="1">
        <f t="shared" si="16"/>
        <v>3.2641641100950024E-6</v>
      </c>
      <c r="P62" s="1">
        <f t="shared" si="16"/>
        <v>3.8507424925393607E-6</v>
      </c>
      <c r="Q62" s="1">
        <f t="shared" si="16"/>
        <v>2.9708297053954167E-6</v>
      </c>
      <c r="R62" s="1">
        <f t="shared" si="16"/>
        <v>4.4374264447810676E-6</v>
      </c>
      <c r="S62" s="1">
        <f t="shared" si="16"/>
        <v>3.2640887928980788E-6</v>
      </c>
      <c r="T62" s="1">
        <f t="shared" si="16"/>
        <v>3.2640887895896142E-6</v>
      </c>
      <c r="U62" s="1">
        <f>-$C$48*U30</f>
        <v>2.6765643384552005E-6</v>
      </c>
      <c r="V62" s="1">
        <f t="shared" si="16"/>
        <v>2.0887179869477632E-6</v>
      </c>
      <c r="W62" s="1">
        <f t="shared" si="16"/>
        <v>9.1245674083140216E-7</v>
      </c>
    </row>
    <row r="63" spans="2:48" outlineLevel="1" x14ac:dyDescent="0.2">
      <c r="B63" s="63" t="s">
        <v>79</v>
      </c>
      <c r="C63" s="1"/>
      <c r="D63" s="1">
        <f t="shared" ref="D63:W63" si="17">-D14</f>
        <v>0</v>
      </c>
      <c r="E63" s="1">
        <f t="shared" si="17"/>
        <v>0</v>
      </c>
      <c r="F63" s="1">
        <f t="shared" si="17"/>
        <v>0</v>
      </c>
      <c r="G63" s="1">
        <f t="shared" si="17"/>
        <v>0</v>
      </c>
      <c r="H63" s="1">
        <f t="shared" si="17"/>
        <v>0</v>
      </c>
      <c r="I63" s="1">
        <f t="shared" si="17"/>
        <v>0</v>
      </c>
      <c r="J63" s="1">
        <f t="shared" si="17"/>
        <v>0</v>
      </c>
      <c r="K63" s="1">
        <f t="shared" si="17"/>
        <v>0</v>
      </c>
      <c r="L63" s="1">
        <f t="shared" si="17"/>
        <v>0</v>
      </c>
      <c r="M63" s="1">
        <f t="shared" si="17"/>
        <v>0</v>
      </c>
      <c r="N63" s="1">
        <f t="shared" si="17"/>
        <v>0</v>
      </c>
      <c r="O63" s="1">
        <f t="shared" si="17"/>
        <v>0</v>
      </c>
      <c r="P63" s="1">
        <f t="shared" si="17"/>
        <v>0</v>
      </c>
      <c r="Q63" s="1">
        <f t="shared" si="17"/>
        <v>0</v>
      </c>
      <c r="R63" s="1">
        <f t="shared" si="17"/>
        <v>0</v>
      </c>
      <c r="S63" s="1">
        <f t="shared" si="17"/>
        <v>0</v>
      </c>
      <c r="T63" s="1">
        <f t="shared" si="17"/>
        <v>0</v>
      </c>
      <c r="U63" s="1">
        <f t="shared" si="17"/>
        <v>0</v>
      </c>
      <c r="V63" s="1">
        <f t="shared" si="17"/>
        <v>0</v>
      </c>
      <c r="W63" s="1">
        <f t="shared" si="17"/>
        <v>0</v>
      </c>
    </row>
    <row r="64" spans="2:48" outlineLevel="1" x14ac:dyDescent="0.2">
      <c r="B64" s="63" t="s">
        <v>80</v>
      </c>
      <c r="C64" s="1"/>
      <c r="D64" s="1">
        <f>IF(D$56&lt;=$C$6,0,HLOOKUP(D$56,'Input data'!$C$9:$BB$26,12,FALSE)-HLOOKUP($C$6,'Input data'!$C$9:$BB$26,12,FALSE))</f>
        <v>0</v>
      </c>
      <c r="E64" s="1">
        <f>IF(E$56&lt;=$C$6,0,HLOOKUP(E$56,'Input data'!$C$9:$BB$26,12,FALSE)-HLOOKUP($C$6,'Input data'!$C$9:$BB$26,12,FALSE))</f>
        <v>0</v>
      </c>
      <c r="F64" s="1">
        <f>IF(F$56&lt;=$C$6,0,HLOOKUP(F$56,'Input data'!$C$9:$BB$26,12,FALSE)-HLOOKUP($C$6,'Input data'!$C$9:$BB$26,12,FALSE))</f>
        <v>0</v>
      </c>
      <c r="G64" s="1">
        <f>IF(G$56&lt;=$C$6,0,HLOOKUP(G$56,'Input data'!$C$9:$BB$26,12,FALSE)-HLOOKUP($C$6,'Input data'!$C$9:$BB$26,12,FALSE))</f>
        <v>0</v>
      </c>
      <c r="H64" s="1">
        <f>IF(H$56&lt;=$C$6,0,HLOOKUP(H$56,'Input data'!$C$9:$BB$26,12,FALSE)-HLOOKUP($C$6,'Input data'!$C$9:$BB$26,12,FALSE))</f>
        <v>0</v>
      </c>
      <c r="I64" s="1">
        <f>IF(I$56&lt;=$C$6,0,HLOOKUP(I$56,'Input data'!$C$9:$BB$26,12,FALSE)-HLOOKUP($C$6,'Input data'!$C$9:$BB$26,12,FALSE))</f>
        <v>0</v>
      </c>
      <c r="J64" s="1">
        <f>IF(J$56&lt;=$C$6,0,HLOOKUP(J$56,'Input data'!$C$9:$BB$26,12,FALSE)-HLOOKUP($C$6,'Input data'!$C$9:$BB$26,12,FALSE))</f>
        <v>0</v>
      </c>
      <c r="K64" s="1">
        <f>IF(K$56&lt;=$C$6,0,HLOOKUP(K$56,'Input data'!$C$9:$BB$26,12,FALSE)-HLOOKUP($C$6,'Input data'!$C$9:$BB$26,12,FALSE))</f>
        <v>-0.15559999999999974</v>
      </c>
      <c r="L64" s="1">
        <f>IF(L$56&lt;=$C$6,0,HLOOKUP(L$56,'Input data'!$C$9:$BB$26,12,FALSE)-HLOOKUP($C$6,'Input data'!$C$9:$BB$26,12,FALSE))</f>
        <v>-0.25197000000000003</v>
      </c>
      <c r="M64" s="1">
        <f>IF(M$56&lt;=$C$6,0,HLOOKUP(M$56,'Input data'!$C$9:$BB$26,12,FALSE)-HLOOKUP($C$6,'Input data'!$C$9:$BB$26,12,FALSE))</f>
        <v>-0.34205999999999648</v>
      </c>
      <c r="N64" s="1">
        <f>IF(N$56&lt;=$C$6,0,HLOOKUP(N$56,'Input data'!$C$9:$BB$26,12,FALSE)-HLOOKUP($C$6,'Input data'!$C$9:$BB$26,12,FALSE))</f>
        <v>-0.42820999999999643</v>
      </c>
      <c r="O64" s="1">
        <f>IF(O$56&lt;=$C$6,0,HLOOKUP(O$56,'Input data'!$C$9:$BB$26,12,FALSE)-HLOOKUP($C$6,'Input data'!$C$9:$BB$26,12,FALSE))</f>
        <v>-0.52205000000000013</v>
      </c>
      <c r="P64" s="1">
        <f>IF(P$56&lt;=$C$6,0,HLOOKUP(P$56,'Input data'!$C$9:$BB$26,12,FALSE)-HLOOKUP($C$6,'Input data'!$C$9:$BB$26,12,FALSE))</f>
        <v>-0.60853999999999786</v>
      </c>
      <c r="Q64" s="1">
        <f>IF(Q$56&lt;=$C$6,0,HLOOKUP(Q$56,'Input data'!$C$9:$BB$26,12,FALSE)-HLOOKUP($C$6,'Input data'!$C$9:$BB$26,12,FALSE))</f>
        <v>-0.69277999999999906</v>
      </c>
      <c r="R64" s="1">
        <f>IF(R$56&lt;=$C$6,0,HLOOKUP(R$56,'Input data'!$C$9:$BB$26,12,FALSE)-HLOOKUP($C$6,'Input data'!$C$9:$BB$26,12,FALSE))</f>
        <v>-0.77021999999999835</v>
      </c>
      <c r="S64" s="1">
        <f>IF(S$56&lt;=$C$6,0,HLOOKUP(S$56,'Input data'!$C$9:$BB$26,12,FALSE)-HLOOKUP($C$6,'Input data'!$C$9:$BB$26,12,FALSE))</f>
        <v>-0.85241999999999862</v>
      </c>
      <c r="T64" s="1">
        <f>IF(T$56&lt;=$C$6,0,HLOOKUP(T$56,'Input data'!$C$9:$BB$26,12,FALSE)-HLOOKUP($C$6,'Input data'!$C$9:$BB$26,12,FALSE))</f>
        <v>-0.92677999999999727</v>
      </c>
      <c r="U64" s="1">
        <f>IF(U$56&lt;=$C$6,0,HLOOKUP(U$56,'Input data'!$C$9:$BB$26,12,FALSE)-HLOOKUP($C$6,'Input data'!$C$9:$BB$26,12,FALSE))</f>
        <v>-0.97547999999999746</v>
      </c>
      <c r="V64" s="1">
        <f>IF(V$56&lt;=$C$6,0,HLOOKUP(V$56,'Input data'!$C$9:$BB$26,12,FALSE)-HLOOKUP($C$6,'Input data'!$C$9:$BB$26,12,FALSE))</f>
        <v>-1.0124999999999957</v>
      </c>
      <c r="W64" s="1">
        <f>IF(W$56&lt;=$C$6,0,HLOOKUP(W$56,'Input data'!$C$9:$BB$26,12,FALSE)-HLOOKUP($C$6,'Input data'!$C$9:$BB$26,12,FALSE))</f>
        <v>-1.0124899999999997</v>
      </c>
    </row>
    <row r="65" spans="2:23" outlineLevel="1" x14ac:dyDescent="0.2">
      <c r="B65" s="63" t="s">
        <v>81</v>
      </c>
      <c r="C65" s="1"/>
      <c r="D65" s="1">
        <f>IF(D$56&lt;=$C$5,0,-HLOOKUP(D$56,'Input data'!$C$9:$BB$26,18,FALSE)+HLOOKUP($C$6,'Input data'!$C$9:$BB$26,18,FALSE))</f>
        <v>0</v>
      </c>
      <c r="E65" s="1">
        <f>IF(E$56&lt;=$C$5,0,-HLOOKUP(E$56,'Input data'!$C$9:$BB$26,18,FALSE)+HLOOKUP($C$6,'Input data'!$C$9:$BB$26,18,FALSE))</f>
        <v>0</v>
      </c>
      <c r="F65" s="1">
        <f>IF(F$56&lt;=$C$5,0,-HLOOKUP(F$56,'Input data'!$C$9:$BB$26,18,FALSE)+HLOOKUP($C$6,'Input data'!$C$9:$BB$26,18,FALSE))</f>
        <v>0</v>
      </c>
      <c r="G65" s="1">
        <f>IF(G$56&lt;=$C$6,0,-HLOOKUP(G$56,'Input data'!$C$9:$BB$26,18,FALSE)+HLOOKUP($C$6,'Input data'!$C$9:$BB$26,18,FALSE))</f>
        <v>0</v>
      </c>
      <c r="H65" s="1">
        <f>IF(H$56&lt;=$C$6,0,-HLOOKUP(H$56,'Input data'!$C$9:$BB$26,18,FALSE)+HLOOKUP($C$6,'Input data'!$C$9:$BB$26,18,FALSE))</f>
        <v>0</v>
      </c>
      <c r="I65" s="1">
        <f>IF(I$56&lt;=$C$6,0,-HLOOKUP(I$56,'Input data'!$C$9:$BB$26,18,FALSE)+HLOOKUP($C$6,'Input data'!$C$9:$BB$26,18,FALSE))</f>
        <v>0</v>
      </c>
      <c r="J65" s="1">
        <f>IF(J$56&lt;=$C$6,0,-HLOOKUP(J$56,'Input data'!$C$9:$BB$26,18,FALSE)+HLOOKUP($C$6,'Input data'!$C$9:$BB$26,18,FALSE))</f>
        <v>0</v>
      </c>
      <c r="K65" s="1">
        <f>IF(K$56&lt;=$C$6,0,-HLOOKUP(K$56,'Input data'!$C$9:$BB$26,18,FALSE)+HLOOKUP($C$6,'Input data'!$C$9:$BB$26,18,FALSE))</f>
        <v>7.6339999999999186E-3</v>
      </c>
      <c r="L65" s="1">
        <f>IF(L$56&lt;=$C$6,0,-HLOOKUP(L$56,'Input data'!$C$9:$BB$26,18,FALSE)+HLOOKUP($C$6,'Input data'!$C$9:$BB$26,18,FALSE))</f>
        <v>1.5268000000000059E-2</v>
      </c>
      <c r="M65" s="1">
        <f>IF(M$56&lt;=$C$6,0,-HLOOKUP(M$56,'Input data'!$C$9:$BB$26,18,FALSE)+HLOOKUP($C$6,'Input data'!$C$9:$BB$26,18,FALSE))</f>
        <v>2.290100000000006E-2</v>
      </c>
      <c r="N65" s="1">
        <f>IF(N$56&lt;=$C$6,0,-HLOOKUP(N$56,'Input data'!$C$9:$BB$26,18,FALSE)+HLOOKUP($C$6,'Input data'!$C$9:$BB$26,18,FALSE))</f>
        <v>3.0534999999999979E-2</v>
      </c>
      <c r="O65" s="1">
        <f>IF(O$56&lt;=$C$6,0,-HLOOKUP(O$56,'Input data'!$C$9:$BB$26,18,FALSE)+HLOOKUP($C$6,'Input data'!$C$9:$BB$26,18,FALSE))</f>
        <v>3.8169000000000119E-2</v>
      </c>
      <c r="P65" s="1">
        <f>IF(P$56&lt;=$C$6,0,-HLOOKUP(P$56,'Input data'!$C$9:$BB$26,18,FALSE)+HLOOKUP($C$6,'Input data'!$C$9:$BB$26,18,FALSE))</f>
        <v>4.5803000000000038E-2</v>
      </c>
      <c r="Q65" s="1">
        <f>IF(Q$56&lt;=$C$6,0,-HLOOKUP(Q$56,'Input data'!$C$9:$BB$26,18,FALSE)+HLOOKUP($C$6,'Input data'!$C$9:$BB$26,18,FALSE))</f>
        <v>5.3436000000000039E-2</v>
      </c>
      <c r="R65" s="1">
        <f>IF(R$56&lt;=$C$6,0,-HLOOKUP(R$56,'Input data'!$C$9:$BB$26,18,FALSE)+HLOOKUP($C$6,'Input data'!$C$9:$BB$26,18,FALSE))</f>
        <v>6.1069999999999958E-2</v>
      </c>
      <c r="S65" s="1">
        <f>IF(S$56&lt;=$C$6,0,-HLOOKUP(S$56,'Input data'!$C$9:$BB$26,18,FALSE)+HLOOKUP($C$6,'Input data'!$C$9:$BB$26,18,FALSE))</f>
        <v>6.8704000000000098E-2</v>
      </c>
      <c r="T65" s="1">
        <f>IF(T$56&lt;=$C$6,0,-HLOOKUP(T$56,'Input data'!$C$9:$BB$26,18,FALSE)+HLOOKUP($C$6,'Input data'!$C$9:$BB$26,18,FALSE))</f>
        <v>7.6338000000000017E-2</v>
      </c>
      <c r="U65" s="188">
        <f>IF(U$56&lt;=$C$6,0,-HLOOKUP(U$56,'Input data'!$C$9:$BB$26,18,FALSE)+HLOOKUP($C$6,'Input data'!$C$9:$BB$26,18,FALSE))</f>
        <v>8.3971000000000018E-2</v>
      </c>
      <c r="V65" s="188">
        <f>IF(V$56&lt;=$C$6,0,-HLOOKUP(V$56,'Input data'!$C$9:$BB$26,18,FALSE)+HLOOKUP($C$6,'Input data'!$C$9:$BB$26,18,FALSE))</f>
        <v>9.1604999999999936E-2</v>
      </c>
      <c r="W65" s="188">
        <f>IF(W$56&lt;=$C$6,0,-HLOOKUP(W$56,'Input data'!$C$9:$BB$26,18,FALSE)+HLOOKUP($C$6,'Input data'!$C$9:$BB$26,18,FALSE))</f>
        <v>9.9239000000000077E-2</v>
      </c>
    </row>
    <row r="66" spans="2:23" outlineLevel="1" x14ac:dyDescent="0.2">
      <c r="B66" s="63" t="s">
        <v>82</v>
      </c>
      <c r="C66" s="26"/>
      <c r="D66" s="26">
        <v>0</v>
      </c>
      <c r="E66" s="26">
        <v>0</v>
      </c>
      <c r="F66" s="26">
        <v>0</v>
      </c>
      <c r="G66" s="26">
        <v>0</v>
      </c>
      <c r="H66" s="26">
        <v>0</v>
      </c>
      <c r="I66" s="26">
        <v>0</v>
      </c>
      <c r="J66" s="26">
        <v>0</v>
      </c>
      <c r="K66" s="26">
        <v>0</v>
      </c>
      <c r="L66" s="26">
        <v>0</v>
      </c>
      <c r="M66" s="26">
        <v>0</v>
      </c>
      <c r="N66" s="26">
        <v>0</v>
      </c>
      <c r="O66" s="26">
        <v>0</v>
      </c>
      <c r="P66" s="26">
        <v>0</v>
      </c>
      <c r="Q66" s="26">
        <v>0</v>
      </c>
      <c r="R66" s="26">
        <v>0</v>
      </c>
      <c r="S66" s="26">
        <v>0</v>
      </c>
      <c r="T66" s="26">
        <v>0</v>
      </c>
      <c r="U66" s="189">
        <v>0</v>
      </c>
      <c r="V66" s="189">
        <v>0</v>
      </c>
      <c r="W66" s="189">
        <v>0</v>
      </c>
    </row>
    <row r="67" spans="2:23" outlineLevel="1" x14ac:dyDescent="0.2">
      <c r="B67" s="64" t="s">
        <v>83</v>
      </c>
      <c r="C67" s="34"/>
      <c r="D67" s="34">
        <f t="shared" ref="D67:O67" si="18">SUM(D68:D71)</f>
        <v>-3.6847240000000001</v>
      </c>
      <c r="E67" s="34">
        <f t="shared" si="18"/>
        <v>-1.554413</v>
      </c>
      <c r="F67" s="34">
        <f t="shared" si="18"/>
        <v>-0.96644189999999996</v>
      </c>
      <c r="G67" s="34">
        <f t="shared" si="18"/>
        <v>-0.60350980000000143</v>
      </c>
      <c r="H67" s="34">
        <f t="shared" si="18"/>
        <v>-0.70603177573472753</v>
      </c>
      <c r="I67" s="34">
        <f t="shared" si="18"/>
        <v>-0.50535968338798853</v>
      </c>
      <c r="J67" s="34">
        <f t="shared" si="18"/>
        <v>-0.38557065355214853</v>
      </c>
      <c r="K67" s="34">
        <f t="shared" si="18"/>
        <v>-0.33437143997820806</v>
      </c>
      <c r="L67" s="34">
        <f t="shared" si="18"/>
        <v>-0.29412158290944024</v>
      </c>
      <c r="M67" s="34">
        <f t="shared" si="18"/>
        <v>-0.1993024595938645</v>
      </c>
      <c r="N67" s="34">
        <f t="shared" si="18"/>
        <v>-0.11182271375185782</v>
      </c>
      <c r="O67" s="34">
        <f t="shared" si="18"/>
        <v>-1.5138437107092062E-2</v>
      </c>
      <c r="P67" s="34">
        <f t="shared" ref="P67:W67" si="19">SUM(P68:P71)</f>
        <v>6.1855869701035959E-2</v>
      </c>
      <c r="Q67" s="34">
        <f t="shared" si="19"/>
        <v>0.11312454995715793</v>
      </c>
      <c r="R67" s="34">
        <f t="shared" si="19"/>
        <v>0.1596492934240854</v>
      </c>
      <c r="S67" s="34">
        <f t="shared" si="19"/>
        <v>0.20179473570274009</v>
      </c>
      <c r="T67" s="34">
        <f t="shared" si="19"/>
        <v>0.26993660499896366</v>
      </c>
      <c r="U67" s="34">
        <f t="shared" si="19"/>
        <v>0.33259276263480586</v>
      </c>
      <c r="V67" s="34">
        <f t="shared" si="19"/>
        <v>0.38817310607228361</v>
      </c>
      <c r="W67" s="34">
        <f t="shared" si="19"/>
        <v>0.43957507704063281</v>
      </c>
    </row>
    <row r="68" spans="2:23" outlineLevel="1" x14ac:dyDescent="0.2">
      <c r="B68" s="63" t="s">
        <v>84</v>
      </c>
      <c r="C68" s="23"/>
      <c r="D68" s="23">
        <f t="shared" ref="D68:E68" si="20">C57*D36/100*(1/(1+D33/100))</f>
        <v>0.38643365390291995</v>
      </c>
      <c r="E68" s="23">
        <f t="shared" si="20"/>
        <v>0.49348790772771806</v>
      </c>
      <c r="F68" s="23">
        <f>E57*F36/100*(1/(1+F33/100))</f>
        <v>0.59226754090926192</v>
      </c>
      <c r="G68" s="23">
        <f>F57*G36/100*(1/(1+G33/100))</f>
        <v>0.58261301423249778</v>
      </c>
      <c r="H68" s="23">
        <f t="shared" ref="H68:W68" si="21">G57*H36/100*(1/(1+H33/100))</f>
        <v>0.54343145457662223</v>
      </c>
      <c r="I68" s="23">
        <f t="shared" si="21"/>
        <v>0.639890362277726</v>
      </c>
      <c r="J68" s="23">
        <f>I57*J36/100*(1/(1+J33/100))</f>
        <v>0.74725377358460143</v>
      </c>
      <c r="K68" s="23">
        <f t="shared" si="21"/>
        <v>0.85848007603976662</v>
      </c>
      <c r="L68" s="23">
        <f t="shared" si="21"/>
        <v>0.96742618379701484</v>
      </c>
      <c r="M68" s="23">
        <f t="shared" si="21"/>
        <v>1.0765199892293569</v>
      </c>
      <c r="N68" s="23">
        <f t="shared" si="21"/>
        <v>1.1862502708173448</v>
      </c>
      <c r="O68" s="23">
        <f t="shared" si="21"/>
        <v>1.297527386737785</v>
      </c>
      <c r="P68" s="23">
        <f t="shared" si="21"/>
        <v>1.4095289589972184</v>
      </c>
      <c r="Q68" s="23">
        <f t="shared" si="21"/>
        <v>1.513982723422689</v>
      </c>
      <c r="R68" s="23">
        <f t="shared" si="21"/>
        <v>1.61204295873533</v>
      </c>
      <c r="S68" s="23">
        <f t="shared" si="21"/>
        <v>1.7041786952737967</v>
      </c>
      <c r="T68" s="23">
        <f t="shared" si="21"/>
        <v>1.7915969811425103</v>
      </c>
      <c r="U68" s="23">
        <f t="shared" si="21"/>
        <v>1.8747434590283738</v>
      </c>
      <c r="V68" s="23">
        <f t="shared" si="21"/>
        <v>1.9547556847175152</v>
      </c>
      <c r="W68" s="23">
        <f t="shared" si="21"/>
        <v>2.0321980561655293</v>
      </c>
    </row>
    <row r="69" spans="2:23" outlineLevel="1" x14ac:dyDescent="0.2">
      <c r="B69" s="63" t="s">
        <v>85</v>
      </c>
      <c r="C69" s="23"/>
      <c r="D69" s="23">
        <f t="shared" ref="D69:W69" si="22">-C57*(D24/100)*(1/(1+D33/100))</f>
        <v>-0.7982198457532661</v>
      </c>
      <c r="E69" s="23">
        <f t="shared" si="22"/>
        <v>-0.38555692979930867</v>
      </c>
      <c r="F69" s="23">
        <f t="shared" si="22"/>
        <v>-0.51428878253048549</v>
      </c>
      <c r="G69" s="23">
        <f t="shared" si="22"/>
        <v>-0.63121291138118207</v>
      </c>
      <c r="H69" s="23">
        <f t="shared" si="22"/>
        <v>-0.63120135388219234</v>
      </c>
      <c r="I69" s="23">
        <f t="shared" si="22"/>
        <v>-0.51005446222794948</v>
      </c>
      <c r="J69" s="23">
        <f t="shared" si="22"/>
        <v>-0.47123315132774984</v>
      </c>
      <c r="K69" s="23">
        <f t="shared" si="22"/>
        <v>-0.50186959119063923</v>
      </c>
      <c r="L69" s="23">
        <f t="shared" si="22"/>
        <v>-0.54383936022649348</v>
      </c>
      <c r="M69" s="23">
        <f t="shared" si="22"/>
        <v>-0.53416679441594861</v>
      </c>
      <c r="N69" s="23">
        <f t="shared" si="22"/>
        <v>-0.53372308344795494</v>
      </c>
      <c r="O69" s="23">
        <f t="shared" si="22"/>
        <v>-0.52697497729732445</v>
      </c>
      <c r="P69" s="23">
        <f t="shared" si="22"/>
        <v>-0.54197547593340756</v>
      </c>
      <c r="Q69" s="23">
        <f t="shared" si="22"/>
        <v>-0.5648038514714272</v>
      </c>
      <c r="R69" s="23">
        <f t="shared" si="22"/>
        <v>-0.58708916459460958</v>
      </c>
      <c r="S69" s="23">
        <f t="shared" si="22"/>
        <v>-0.60887712132401128</v>
      </c>
      <c r="T69" s="23">
        <f t="shared" si="22"/>
        <v>-0.6011914198183852</v>
      </c>
      <c r="U69" s="23">
        <f t="shared" si="22"/>
        <v>-0.59519519555418043</v>
      </c>
      <c r="V69" s="23">
        <f t="shared" si="22"/>
        <v>-0.59317414477834141</v>
      </c>
      <c r="W69" s="23">
        <f t="shared" si="22"/>
        <v>-0.59270598269967045</v>
      </c>
    </row>
    <row r="70" spans="2:23" outlineLevel="1" x14ac:dyDescent="0.2">
      <c r="B70" s="63" t="s">
        <v>86</v>
      </c>
      <c r="C70" s="23"/>
      <c r="D70" s="23">
        <f t="shared" ref="D70:W70" si="23">-C57*D42/100*(1/(1+D42/100))</f>
        <v>-3.2731501975701005</v>
      </c>
      <c r="E70" s="23">
        <f t="shared" si="23"/>
        <v>-1.6622916483957075</v>
      </c>
      <c r="F70" s="23">
        <f t="shared" si="23"/>
        <v>-1.0444070154428231</v>
      </c>
      <c r="G70" s="23">
        <f t="shared" si="23"/>
        <v>-0.55491499730323357</v>
      </c>
      <c r="H70" s="23">
        <f t="shared" si="23"/>
        <v>-0.61826187642915742</v>
      </c>
      <c r="I70" s="23">
        <f t="shared" si="23"/>
        <v>-0.63519558343776505</v>
      </c>
      <c r="J70" s="23">
        <f t="shared" si="23"/>
        <v>-0.66159127580900012</v>
      </c>
      <c r="K70" s="23">
        <f t="shared" si="23"/>
        <v>-0.69098192482733545</v>
      </c>
      <c r="L70" s="23">
        <f t="shared" si="23"/>
        <v>-0.71770840647996159</v>
      </c>
      <c r="M70" s="23">
        <f t="shared" si="23"/>
        <v>-0.74165565440727277</v>
      </c>
      <c r="N70" s="23">
        <f t="shared" si="23"/>
        <v>-0.76434990112124768</v>
      </c>
      <c r="O70" s="23">
        <f t="shared" si="23"/>
        <v>-0.78569084654755261</v>
      </c>
      <c r="P70" s="23">
        <f t="shared" si="23"/>
        <v>-0.8056976133627749</v>
      </c>
      <c r="Q70" s="23">
        <f t="shared" si="23"/>
        <v>-0.8360543219941039</v>
      </c>
      <c r="R70" s="23">
        <f t="shared" si="23"/>
        <v>-0.86530450071663489</v>
      </c>
      <c r="S70" s="23">
        <f t="shared" si="23"/>
        <v>-0.89350683824704547</v>
      </c>
      <c r="T70" s="23">
        <f t="shared" si="23"/>
        <v>-0.92046895632516146</v>
      </c>
      <c r="U70" s="23">
        <f t="shared" si="23"/>
        <v>-0.9469555008393874</v>
      </c>
      <c r="V70" s="23">
        <f t="shared" si="23"/>
        <v>-0.97340843386689013</v>
      </c>
      <c r="W70" s="23">
        <f t="shared" si="23"/>
        <v>-0.99991699642522591</v>
      </c>
    </row>
    <row r="71" spans="2:23" outlineLevel="1" x14ac:dyDescent="0.2">
      <c r="B71" s="63" t="s">
        <v>87</v>
      </c>
      <c r="C71" s="35"/>
      <c r="D71" s="35">
        <f>'Baseline NFPC'!D70</f>
        <v>2.1238942044643494E-4</v>
      </c>
      <c r="E71" s="35">
        <f>'Baseline NFPC'!E70</f>
        <v>-5.2329532701955728E-5</v>
      </c>
      <c r="F71" s="35">
        <f>'Baseline NFPC'!F70</f>
        <v>-1.3642935953295243E-5</v>
      </c>
      <c r="G71" s="35">
        <f>'Baseline NFPC'!G70</f>
        <v>5.0944519164319857E-6</v>
      </c>
      <c r="H71" s="35">
        <v>0</v>
      </c>
      <c r="I71" s="35">
        <v>0</v>
      </c>
      <c r="J71" s="35">
        <v>0</v>
      </c>
      <c r="K71" s="35">
        <v>0</v>
      </c>
      <c r="L71" s="35">
        <v>0</v>
      </c>
      <c r="M71" s="35">
        <v>0</v>
      </c>
      <c r="N71" s="35">
        <v>0</v>
      </c>
      <c r="O71" s="35">
        <v>0</v>
      </c>
      <c r="P71" s="35">
        <v>0</v>
      </c>
      <c r="Q71" s="35">
        <v>0</v>
      </c>
      <c r="R71" s="35">
        <v>0</v>
      </c>
      <c r="S71" s="35">
        <v>0</v>
      </c>
      <c r="T71" s="35">
        <v>0</v>
      </c>
      <c r="U71" s="35">
        <v>0</v>
      </c>
      <c r="V71" s="35">
        <v>0</v>
      </c>
      <c r="W71" s="35">
        <v>0</v>
      </c>
    </row>
    <row r="72" spans="2:23" outlineLevel="1" x14ac:dyDescent="0.2">
      <c r="B72" s="64" t="s">
        <v>88</v>
      </c>
      <c r="C72" s="36"/>
      <c r="D72" s="36">
        <f>'Input data'!D16</f>
        <v>-0.16636419999999999</v>
      </c>
      <c r="E72" s="36">
        <f>'Input data'!E16</f>
        <v>0.4477447</v>
      </c>
      <c r="F72" s="36">
        <f>'Input data'!F16</f>
        <v>0.53785850000000002</v>
      </c>
      <c r="G72" s="36">
        <f>'Input data'!G16</f>
        <v>-2.9595989999999999</v>
      </c>
      <c r="H72" s="36">
        <f>'Input data'!H16</f>
        <v>-0.14993790000000001</v>
      </c>
      <c r="I72" s="36">
        <f>'Input data'!I16</f>
        <v>0</v>
      </c>
      <c r="J72" s="36">
        <f>'Input data'!J16</f>
        <v>0</v>
      </c>
      <c r="K72" s="36">
        <f>'Input data'!K16</f>
        <v>0</v>
      </c>
      <c r="L72" s="36">
        <f>'Input data'!L16</f>
        <v>0</v>
      </c>
      <c r="M72" s="36">
        <f>'Input data'!M16</f>
        <v>0</v>
      </c>
      <c r="N72" s="36">
        <f>'Input data'!N16</f>
        <v>0</v>
      </c>
      <c r="O72" s="36">
        <f>'Input data'!O16</f>
        <v>0</v>
      </c>
      <c r="P72" s="36">
        <f>'Input data'!P16</f>
        <v>0</v>
      </c>
      <c r="Q72" s="36">
        <f>'Input data'!Q16</f>
        <v>0</v>
      </c>
      <c r="R72" s="36">
        <f>'Input data'!R16</f>
        <v>0</v>
      </c>
      <c r="S72" s="36">
        <f>'Input data'!S16</f>
        <v>0</v>
      </c>
      <c r="T72" s="36">
        <f>'Input data'!T16</f>
        <v>0</v>
      </c>
      <c r="U72" s="36">
        <f>'Input data'!U16</f>
        <v>0</v>
      </c>
      <c r="V72" s="36">
        <f>'Input data'!V16</f>
        <v>0</v>
      </c>
      <c r="W72" s="36">
        <f>'Input data'!W16</f>
        <v>0</v>
      </c>
    </row>
    <row r="73" spans="2:23" outlineLevel="1" x14ac:dyDescent="0.2">
      <c r="B73" s="63" t="s">
        <v>89</v>
      </c>
      <c r="C73" s="23"/>
      <c r="D73" s="23">
        <f t="shared" ref="D73:W73" si="24">D15</f>
        <v>-0.1772164</v>
      </c>
      <c r="E73" s="23">
        <f t="shared" si="24"/>
        <v>0.44991419999999999</v>
      </c>
      <c r="F73" s="23">
        <f t="shared" si="24"/>
        <v>0.53834850000000001</v>
      </c>
      <c r="G73" s="23">
        <f t="shared" si="24"/>
        <v>-2.9597929999999999</v>
      </c>
      <c r="H73" s="23">
        <f t="shared" si="24"/>
        <v>-0.14993809999999999</v>
      </c>
      <c r="I73" s="23">
        <f t="shared" si="24"/>
        <v>0</v>
      </c>
      <c r="J73" s="23">
        <f t="shared" si="24"/>
        <v>0</v>
      </c>
      <c r="K73" s="23">
        <f t="shared" si="24"/>
        <v>0</v>
      </c>
      <c r="L73" s="23">
        <f t="shared" si="24"/>
        <v>0</v>
      </c>
      <c r="M73" s="23">
        <f t="shared" si="24"/>
        <v>0</v>
      </c>
      <c r="N73" s="23">
        <f t="shared" si="24"/>
        <v>0</v>
      </c>
      <c r="O73" s="23">
        <f t="shared" si="24"/>
        <v>0</v>
      </c>
      <c r="P73" s="23">
        <f t="shared" si="24"/>
        <v>0</v>
      </c>
      <c r="Q73" s="23">
        <f t="shared" si="24"/>
        <v>0</v>
      </c>
      <c r="R73" s="23">
        <f t="shared" si="24"/>
        <v>0</v>
      </c>
      <c r="S73" s="23">
        <f t="shared" si="24"/>
        <v>0</v>
      </c>
      <c r="T73" s="23">
        <f t="shared" si="24"/>
        <v>0</v>
      </c>
      <c r="U73" s="23">
        <f t="shared" si="24"/>
        <v>0</v>
      </c>
      <c r="V73" s="23">
        <f t="shared" si="24"/>
        <v>0</v>
      </c>
      <c r="W73" s="23">
        <f t="shared" si="24"/>
        <v>0</v>
      </c>
    </row>
    <row r="74" spans="2:23" outlineLevel="1" x14ac:dyDescent="0.2">
      <c r="B74" s="69" t="s">
        <v>90</v>
      </c>
      <c r="C74" s="35"/>
      <c r="D74" s="35">
        <f>+D72-D73</f>
        <v>1.0852200000000006E-2</v>
      </c>
      <c r="E74" s="35">
        <f t="shared" ref="E74:W74" si="25">+E72-E73</f>
        <v>-2.1694999999999909E-3</v>
      </c>
      <c r="F74" s="35">
        <f t="shared" si="25"/>
        <v>-4.8999999999999044E-4</v>
      </c>
      <c r="G74" s="35">
        <f t="shared" si="25"/>
        <v>1.9400000000002748E-4</v>
      </c>
      <c r="H74" s="35">
        <f t="shared" si="25"/>
        <v>1.9999999997799556E-7</v>
      </c>
      <c r="I74" s="35">
        <f t="shared" si="25"/>
        <v>0</v>
      </c>
      <c r="J74" s="35">
        <f t="shared" si="25"/>
        <v>0</v>
      </c>
      <c r="K74" s="35">
        <f t="shared" si="25"/>
        <v>0</v>
      </c>
      <c r="L74" s="35">
        <f t="shared" si="25"/>
        <v>0</v>
      </c>
      <c r="M74" s="35">
        <f t="shared" si="25"/>
        <v>0</v>
      </c>
      <c r="N74" s="35">
        <f t="shared" si="25"/>
        <v>0</v>
      </c>
      <c r="O74" s="35">
        <f t="shared" si="25"/>
        <v>0</v>
      </c>
      <c r="P74" s="35">
        <f t="shared" si="25"/>
        <v>0</v>
      </c>
      <c r="Q74" s="35">
        <f t="shared" si="25"/>
        <v>0</v>
      </c>
      <c r="R74" s="35">
        <f t="shared" si="25"/>
        <v>0</v>
      </c>
      <c r="S74" s="35">
        <f t="shared" si="25"/>
        <v>0</v>
      </c>
      <c r="T74" s="35">
        <f t="shared" si="25"/>
        <v>0</v>
      </c>
      <c r="U74" s="35">
        <f t="shared" si="25"/>
        <v>0</v>
      </c>
      <c r="V74" s="35">
        <f t="shared" si="25"/>
        <v>0</v>
      </c>
      <c r="W74" s="35">
        <f t="shared" si="25"/>
        <v>0</v>
      </c>
    </row>
    <row r="75" spans="2:23" ht="10.5" customHeight="1" outlineLevel="1" x14ac:dyDescent="0.2"/>
    <row r="76" spans="2:23" ht="10.5" customHeight="1" outlineLevel="1" x14ac:dyDescent="0.2">
      <c r="B76" s="70" t="s">
        <v>91</v>
      </c>
    </row>
    <row r="77" spans="2:23" x14ac:dyDescent="0.2">
      <c r="B77" s="61" t="s">
        <v>19</v>
      </c>
      <c r="C77" s="61"/>
      <c r="D77" s="62">
        <f>D59-D68</f>
        <v>-2.8842977119318904</v>
      </c>
      <c r="E77" s="62">
        <f t="shared" ref="E77:W77" si="26">E59-E68</f>
        <v>-2.0024050348224529</v>
      </c>
      <c r="F77" s="62">
        <f t="shared" si="26"/>
        <v>-2.6315401809889596</v>
      </c>
      <c r="G77" s="62">
        <f>G59-G68</f>
        <v>-2.641332512791537</v>
      </c>
      <c r="H77" s="62">
        <f t="shared" si="26"/>
        <v>-2.4672044299176266</v>
      </c>
      <c r="I77" s="62">
        <f t="shared" si="26"/>
        <v>-2.6190500043352216</v>
      </c>
      <c r="J77" s="62">
        <f t="shared" si="26"/>
        <v>-2.7818005342030845</v>
      </c>
      <c r="K77" s="62">
        <f t="shared" si="26"/>
        <v>-2.8004473422751279</v>
      </c>
      <c r="L77" s="62">
        <f t="shared" si="26"/>
        <v>-2.8206583267122007</v>
      </c>
      <c r="M77" s="62">
        <f t="shared" si="26"/>
        <v>-2.8472945468978774</v>
      </c>
      <c r="N77" s="62">
        <f t="shared" si="26"/>
        <v>-2.8785091213807239</v>
      </c>
      <c r="O77" s="62">
        <f t="shared" si="26"/>
        <v>-2.9035796509018947</v>
      </c>
      <c r="P77" s="62">
        <f t="shared" si="26"/>
        <v>-2.9367258097397126</v>
      </c>
      <c r="Q77" s="62">
        <f t="shared" si="26"/>
        <v>-2.9645716942523954</v>
      </c>
      <c r="R77" s="62">
        <f t="shared" si="26"/>
        <v>-2.9928273961617764</v>
      </c>
      <c r="S77" s="62">
        <f t="shared" si="26"/>
        <v>-3.0103959593625911</v>
      </c>
      <c r="T77" s="62">
        <f t="shared" si="26"/>
        <v>-3.0310882452313024</v>
      </c>
      <c r="U77" s="62">
        <f t="shared" si="26"/>
        <v>-3.0731671355927146</v>
      </c>
      <c r="V77" s="62">
        <f t="shared" si="26"/>
        <v>-3.1237927734355062</v>
      </c>
      <c r="W77" s="62">
        <f t="shared" si="26"/>
        <v>-3.2088779686222706</v>
      </c>
    </row>
    <row r="78" spans="2:23" x14ac:dyDescent="0.2">
      <c r="B78" s="15" t="s">
        <v>20</v>
      </c>
      <c r="D78" s="23">
        <f>D60-D68-D64-D65-D66</f>
        <v>-3.4027586539029202</v>
      </c>
      <c r="E78" s="23">
        <f t="shared" ref="E78:W78" si="27">E60-E68-E64-E65-E66</f>
        <v>-2.2720589077277178</v>
      </c>
      <c r="F78" s="23">
        <f t="shared" si="27"/>
        <v>-2.6821975409092618</v>
      </c>
      <c r="G78" s="23">
        <f t="shared" si="27"/>
        <v>-2.6725430142324975</v>
      </c>
      <c r="H78" s="23">
        <f t="shared" si="27"/>
        <v>-2.633361454576622</v>
      </c>
      <c r="I78" s="23">
        <f t="shared" si="27"/>
        <v>-2.7298203622777257</v>
      </c>
      <c r="J78" s="23">
        <f t="shared" si="27"/>
        <v>-2.8371837735846013</v>
      </c>
      <c r="K78" s="23">
        <f t="shared" si="27"/>
        <v>-2.8004440760397666</v>
      </c>
      <c r="L78" s="23">
        <f t="shared" si="27"/>
        <v>-2.8206541837970143</v>
      </c>
      <c r="M78" s="23">
        <f t="shared" si="27"/>
        <v>-2.8472909892293603</v>
      </c>
      <c r="N78" s="23">
        <f t="shared" si="27"/>
        <v>-2.8785052708173482</v>
      </c>
      <c r="O78" s="23">
        <f t="shared" si="27"/>
        <v>-2.9035763867377851</v>
      </c>
      <c r="P78" s="23">
        <f t="shared" si="27"/>
        <v>-2.9367219589972207</v>
      </c>
      <c r="Q78" s="23">
        <f t="shared" si="27"/>
        <v>-2.9645687234226901</v>
      </c>
      <c r="R78" s="23">
        <f t="shared" si="27"/>
        <v>-2.9928229587353314</v>
      </c>
      <c r="S78" s="23">
        <f t="shared" si="27"/>
        <v>-3.010392695273798</v>
      </c>
      <c r="T78" s="23">
        <f t="shared" si="27"/>
        <v>-3.0310849811425129</v>
      </c>
      <c r="U78" s="23">
        <f t="shared" si="27"/>
        <v>-3.0731644590283764</v>
      </c>
      <c r="V78" s="23">
        <f t="shared" si="27"/>
        <v>-3.1237906847175192</v>
      </c>
      <c r="W78" s="23">
        <f t="shared" si="27"/>
        <v>-3.2088770561655293</v>
      </c>
    </row>
    <row r="79" spans="2:23" x14ac:dyDescent="0.2">
      <c r="B79" s="24" t="s">
        <v>92</v>
      </c>
      <c r="C79" s="24"/>
      <c r="D79" s="238">
        <f>'Input data'!D45</f>
        <v>23.717846088438755</v>
      </c>
      <c r="E79" s="238">
        <f>'Input data'!E45</f>
        <v>5.7865656435119543</v>
      </c>
      <c r="F79" s="238">
        <f>'Input data'!F45</f>
        <v>7.9106854146593948</v>
      </c>
      <c r="G79" s="35">
        <f>'Input data'!G33+G42-(G$12-F$12)/'Input data'!$C$64*100</f>
        <v>5.0929280000000006</v>
      </c>
      <c r="H79" s="35">
        <f>'Input data'!H33+H42-(H$12-G$12)/'Input data'!$C$64*100</f>
        <v>5.2033659999999999</v>
      </c>
      <c r="I79" s="35">
        <f>'Input data'!I33+I42-(I$12-H$12)/'Input data'!$C$64*100</f>
        <v>5.1271511249999993</v>
      </c>
      <c r="J79" s="35">
        <f>'Input data'!J33+J42-(J$12-I$12)/'Input data'!$C$64*100</f>
        <v>4.7805672499999998</v>
      </c>
      <c r="K79" s="35">
        <f>'Input data'!K33+K42-(K$12-J$12)/'Input data'!$C$64*100</f>
        <v>4.7290293749999996</v>
      </c>
      <c r="L79" s="35">
        <f>'Input data'!L33+L42-(L$12-K$12)/'Input data'!$C$64*100</f>
        <v>4.5324004999999996</v>
      </c>
      <c r="M79" s="35">
        <f>'Input data'!M33+M42-(M$12-L$12)/'Input data'!$C$64*100</f>
        <v>4.3424536250000001</v>
      </c>
      <c r="N79" s="35">
        <f>'Input data'!N33+N42-(N$12-M$12)/'Input data'!$C$64*100</f>
        <v>4.1963597500000001</v>
      </c>
      <c r="O79" s="35">
        <f>'Input data'!O33+O42-(O$12-N$12)/'Input data'!$C$64*100</f>
        <v>4.0389098749999999</v>
      </c>
      <c r="P79" s="35">
        <f>'Input data'!P33+P42-(P$12-O$12)/'Input data'!$C$64*100</f>
        <v>3.9561869999999999</v>
      </c>
      <c r="Q79" s="35">
        <f>'Input data'!Q33+Q42-(Q$12-P$12)/'Input data'!$C$64*100</f>
        <v>3.933465</v>
      </c>
      <c r="R79" s="35">
        <f>'Input data'!R33+R42-(R$12-Q$12)/'Input data'!$C$64*100</f>
        <v>3.9107430000000001</v>
      </c>
      <c r="S79" s="35">
        <f>'Input data'!S33+S42-(S$12-R$12)/'Input data'!$C$64*100</f>
        <v>3.8880210000000002</v>
      </c>
      <c r="T79" s="35">
        <f>'Input data'!T33+T42-(T$12-S$12)/'Input data'!$C$64*100</f>
        <v>3.7916610000000004</v>
      </c>
      <c r="U79" s="35">
        <f>'Input data'!U33+U42-(U$12-T$12)/'Input data'!$C$64*100</f>
        <v>3.7050740000000002</v>
      </c>
      <c r="V79" s="35">
        <f>'Input data'!V33+V42-(V$12-U$12)/'Input data'!$C$64*100</f>
        <v>3.632028</v>
      </c>
      <c r="W79" s="35">
        <f>'Input data'!W33+W42-(W$12-V$12)/'Input data'!$C$64*100</f>
        <v>3.5655250000000001</v>
      </c>
    </row>
    <row r="80" spans="2:23" x14ac:dyDescent="0.2">
      <c r="D80" s="23"/>
      <c r="E80" s="23"/>
      <c r="F80" s="23"/>
      <c r="G80" s="23"/>
      <c r="H80" s="23"/>
      <c r="I80" s="23"/>
      <c r="J80" s="23"/>
      <c r="K80" s="23"/>
      <c r="L80" s="23"/>
      <c r="M80" s="23"/>
      <c r="N80" s="23"/>
      <c r="O80" s="23"/>
      <c r="P80" s="23"/>
      <c r="Q80" s="23"/>
      <c r="R80" s="23"/>
      <c r="S80" s="23"/>
      <c r="T80" s="23"/>
      <c r="U80" s="23"/>
      <c r="V80" s="23"/>
      <c r="W80" s="23"/>
    </row>
    <row r="81" spans="2:23" x14ac:dyDescent="0.2">
      <c r="B81" s="89" t="s">
        <v>112</v>
      </c>
      <c r="C81" s="37"/>
      <c r="D81" s="153">
        <f ca="1">AVERAGE(OFFSET($G$79,0,0,1,'Criteria results'!F5))</f>
        <v>5.0510030937499995</v>
      </c>
      <c r="E81" s="23"/>
      <c r="F81" s="23"/>
      <c r="G81" s="23"/>
      <c r="H81" s="23"/>
      <c r="I81" s="25"/>
      <c r="J81" s="25"/>
      <c r="K81" s="25"/>
      <c r="L81" s="25"/>
      <c r="M81" s="23"/>
      <c r="N81" s="23"/>
      <c r="O81" s="23"/>
      <c r="P81" s="23"/>
      <c r="Q81" s="23"/>
      <c r="R81" s="23"/>
      <c r="S81" s="23"/>
      <c r="T81" s="23"/>
      <c r="U81" s="23"/>
      <c r="V81" s="23"/>
      <c r="W81" s="23"/>
    </row>
    <row r="82" spans="2:23" x14ac:dyDescent="0.2">
      <c r="B82" s="67"/>
      <c r="C82" s="61"/>
      <c r="D82" s="275"/>
      <c r="E82" s="23"/>
      <c r="F82" s="23"/>
      <c r="G82" s="23"/>
      <c r="H82" s="23"/>
      <c r="I82" s="25"/>
      <c r="J82" s="25"/>
      <c r="K82" s="25"/>
      <c r="L82" s="25"/>
      <c r="M82" s="23"/>
      <c r="N82" s="23"/>
      <c r="O82" s="23"/>
      <c r="P82" s="23"/>
      <c r="Q82" s="23"/>
      <c r="R82" s="23"/>
      <c r="S82" s="23"/>
      <c r="T82" s="23"/>
      <c r="U82" s="23"/>
      <c r="V82" s="23"/>
      <c r="W82" s="23"/>
    </row>
    <row r="83" spans="2:23" x14ac:dyDescent="0.2">
      <c r="B83" s="37" t="s">
        <v>144</v>
      </c>
      <c r="C83" s="37"/>
      <c r="D83" s="37"/>
      <c r="E83" s="37"/>
      <c r="F83" s="37"/>
      <c r="G83" s="183"/>
      <c r="H83" s="183"/>
      <c r="I83" s="183"/>
      <c r="J83" s="183"/>
      <c r="K83" s="183">
        <f t="shared" ref="K83:W83" si="28">IF(K57&lt;J57,0,1)</f>
        <v>1</v>
      </c>
      <c r="L83" s="183">
        <f t="shared" si="28"/>
        <v>1</v>
      </c>
      <c r="M83" s="183">
        <f t="shared" si="28"/>
        <v>1</v>
      </c>
      <c r="N83" s="183">
        <f t="shared" si="28"/>
        <v>1</v>
      </c>
      <c r="O83" s="183">
        <f t="shared" si="28"/>
        <v>1</v>
      </c>
      <c r="P83" s="183">
        <f t="shared" si="28"/>
        <v>1</v>
      </c>
      <c r="Q83" s="183">
        <f t="shared" si="28"/>
        <v>1</v>
      </c>
      <c r="R83" s="183">
        <f t="shared" si="28"/>
        <v>1</v>
      </c>
      <c r="S83" s="183">
        <f t="shared" si="28"/>
        <v>1</v>
      </c>
      <c r="T83" s="183">
        <f t="shared" si="28"/>
        <v>1</v>
      </c>
      <c r="U83" s="62">
        <f t="shared" si="28"/>
        <v>1</v>
      </c>
      <c r="V83" s="62">
        <f t="shared" si="28"/>
        <v>1</v>
      </c>
      <c r="W83" s="62">
        <f t="shared" si="28"/>
        <v>1</v>
      </c>
    </row>
    <row r="84" spans="2:23" x14ac:dyDescent="0.2">
      <c r="B84" s="61"/>
      <c r="C84" s="61"/>
      <c r="D84" s="62"/>
      <c r="E84" s="23"/>
      <c r="F84" s="23"/>
      <c r="G84" s="23"/>
      <c r="H84" s="23"/>
      <c r="I84" s="23"/>
      <c r="J84" s="23"/>
      <c r="K84" s="23"/>
      <c r="L84" s="23"/>
      <c r="M84" s="23"/>
      <c r="N84" s="23"/>
      <c r="O84" s="23"/>
      <c r="P84" s="23"/>
      <c r="Q84" s="23"/>
      <c r="R84" s="23"/>
      <c r="S84" s="23"/>
      <c r="T84" s="23"/>
      <c r="U84" s="23"/>
      <c r="V84" s="23"/>
      <c r="W84" s="23"/>
    </row>
    <row r="85" spans="2:23" s="71" customFormat="1" ht="12.75" outlineLevel="1" x14ac:dyDescent="0.2">
      <c r="B85" s="72" t="s">
        <v>93</v>
      </c>
      <c r="C85" s="73"/>
      <c r="E85" s="74"/>
      <c r="F85" s="73"/>
    </row>
    <row r="86" spans="2:23" x14ac:dyDescent="0.2">
      <c r="C86" s="23"/>
      <c r="D86" s="23"/>
      <c r="E86" s="23"/>
      <c r="F86" s="23"/>
      <c r="G86" s="23"/>
      <c r="H86" s="23"/>
      <c r="I86" s="23"/>
      <c r="J86" s="23"/>
      <c r="K86" s="23"/>
      <c r="L86" s="23"/>
      <c r="M86" s="23"/>
      <c r="N86" s="23"/>
      <c r="O86" s="23"/>
      <c r="P86" s="23"/>
      <c r="Q86" s="23"/>
      <c r="R86" s="23"/>
      <c r="S86" s="23"/>
      <c r="T86" s="23"/>
      <c r="U86" s="23"/>
      <c r="V86" s="23"/>
      <c r="W86" s="23"/>
    </row>
    <row r="87" spans="2:23" x14ac:dyDescent="0.2">
      <c r="B87" s="15" t="s">
        <v>94</v>
      </c>
      <c r="D87" s="18"/>
      <c r="E87" s="18"/>
      <c r="F87" s="18">
        <f t="shared" ref="F87:W87" si="29">IF((F92-E92*F43/((1+F24/100)*(1+F42/100)))&gt;0,1,0)</f>
        <v>1</v>
      </c>
      <c r="G87" s="18">
        <f t="shared" si="29"/>
        <v>0</v>
      </c>
      <c r="H87" s="18">
        <f t="shared" si="29"/>
        <v>1</v>
      </c>
      <c r="I87" s="18">
        <f t="shared" si="29"/>
        <v>1</v>
      </c>
      <c r="J87" s="18">
        <f t="shared" si="29"/>
        <v>1</v>
      </c>
      <c r="K87" s="18">
        <f t="shared" si="29"/>
        <v>1</v>
      </c>
      <c r="L87" s="18">
        <f t="shared" si="29"/>
        <v>1</v>
      </c>
      <c r="M87" s="18">
        <f t="shared" si="29"/>
        <v>1</v>
      </c>
      <c r="N87" s="18">
        <f t="shared" si="29"/>
        <v>1</v>
      </c>
      <c r="O87" s="18">
        <f t="shared" si="29"/>
        <v>1</v>
      </c>
      <c r="P87" s="18">
        <f t="shared" si="29"/>
        <v>1</v>
      </c>
      <c r="Q87" s="18">
        <f t="shared" si="29"/>
        <v>1</v>
      </c>
      <c r="R87" s="18">
        <f t="shared" si="29"/>
        <v>1</v>
      </c>
      <c r="S87" s="18">
        <f t="shared" si="29"/>
        <v>1</v>
      </c>
      <c r="T87" s="18">
        <f t="shared" si="29"/>
        <v>1</v>
      </c>
      <c r="U87" s="18">
        <f t="shared" si="29"/>
        <v>1</v>
      </c>
      <c r="V87" s="18">
        <f t="shared" si="29"/>
        <v>1</v>
      </c>
      <c r="W87" s="18">
        <f t="shared" si="29"/>
        <v>1</v>
      </c>
    </row>
    <row r="88" spans="2:23" x14ac:dyDescent="0.2">
      <c r="B88" s="15" t="s">
        <v>95</v>
      </c>
      <c r="D88" s="18"/>
      <c r="E88" s="18"/>
      <c r="F88" s="18">
        <f t="shared" ref="F88:W88" si="30">IF(AND(F87=0,ABS(F92-E92*F43/((1+F24/100)*(1+F42/100)))&lt;((E98*E92*F43/((1+F24/100)*(1+F42/100))+(F39*E92*E99*F43/((1+F24/100)*(1+F42/100)))))),1,0)</f>
        <v>0</v>
      </c>
      <c r="G88" s="18">
        <f t="shared" si="30"/>
        <v>1</v>
      </c>
      <c r="H88" s="18">
        <f t="shared" si="30"/>
        <v>0</v>
      </c>
      <c r="I88" s="18">
        <f t="shared" si="30"/>
        <v>0</v>
      </c>
      <c r="J88" s="18">
        <f t="shared" si="30"/>
        <v>0</v>
      </c>
      <c r="K88" s="18">
        <f t="shared" si="30"/>
        <v>0</v>
      </c>
      <c r="L88" s="18">
        <f t="shared" si="30"/>
        <v>0</v>
      </c>
      <c r="M88" s="18">
        <f t="shared" si="30"/>
        <v>0</v>
      </c>
      <c r="N88" s="18">
        <f t="shared" si="30"/>
        <v>0</v>
      </c>
      <c r="O88" s="18">
        <f t="shared" si="30"/>
        <v>0</v>
      </c>
      <c r="P88" s="18">
        <f t="shared" si="30"/>
        <v>0</v>
      </c>
      <c r="Q88" s="18">
        <f t="shared" si="30"/>
        <v>0</v>
      </c>
      <c r="R88" s="18">
        <f t="shared" si="30"/>
        <v>0</v>
      </c>
      <c r="S88" s="18">
        <f t="shared" si="30"/>
        <v>0</v>
      </c>
      <c r="T88" s="18">
        <f t="shared" si="30"/>
        <v>0</v>
      </c>
      <c r="U88" s="18">
        <f t="shared" si="30"/>
        <v>0</v>
      </c>
      <c r="V88" s="18">
        <f t="shared" si="30"/>
        <v>0</v>
      </c>
      <c r="W88" s="18">
        <f t="shared" si="30"/>
        <v>0</v>
      </c>
    </row>
    <row r="90" spans="2:23" x14ac:dyDescent="0.2">
      <c r="H90" s="27"/>
      <c r="I90" s="27"/>
      <c r="J90" s="27"/>
      <c r="K90" s="27"/>
      <c r="L90" s="27"/>
      <c r="M90" s="27"/>
      <c r="N90" s="27"/>
      <c r="O90" s="27"/>
      <c r="P90" s="27"/>
      <c r="Q90" s="27"/>
      <c r="R90" s="27"/>
      <c r="S90" s="27"/>
      <c r="T90" s="27"/>
    </row>
    <row r="91" spans="2:23" x14ac:dyDescent="0.2">
      <c r="B91" s="37"/>
      <c r="C91" s="66">
        <v>2021</v>
      </c>
      <c r="D91" s="66">
        <v>2022</v>
      </c>
      <c r="E91" s="66">
        <v>2023</v>
      </c>
      <c r="F91" s="66">
        <v>2024</v>
      </c>
      <c r="G91" s="66">
        <v>2025</v>
      </c>
      <c r="H91" s="66">
        <v>2026</v>
      </c>
      <c r="I91" s="66">
        <v>2027</v>
      </c>
      <c r="J91" s="66">
        <v>2028</v>
      </c>
      <c r="K91" s="66">
        <v>2029</v>
      </c>
      <c r="L91" s="66">
        <v>2030</v>
      </c>
      <c r="M91" s="66">
        <v>2031</v>
      </c>
      <c r="N91" s="66">
        <v>2032</v>
      </c>
      <c r="O91" s="66">
        <v>2033</v>
      </c>
      <c r="P91" s="66">
        <v>2034</v>
      </c>
      <c r="Q91" s="66">
        <v>2035</v>
      </c>
      <c r="R91" s="66">
        <v>2036</v>
      </c>
      <c r="S91" s="66">
        <v>2037</v>
      </c>
      <c r="T91" s="66">
        <v>2038</v>
      </c>
      <c r="U91" s="66">
        <v>2039</v>
      </c>
      <c r="V91" s="66">
        <v>2040</v>
      </c>
      <c r="W91" s="66">
        <v>2041</v>
      </c>
    </row>
    <row r="92" spans="2:23" x14ac:dyDescent="0.2">
      <c r="B92" s="83" t="s">
        <v>73</v>
      </c>
      <c r="C92" s="87">
        <f>C57</f>
        <v>23.835270000000001</v>
      </c>
      <c r="D92" s="87">
        <f>D57</f>
        <v>22.482045858028972</v>
      </c>
      <c r="E92" s="87">
        <f>E57</f>
        <v>22.884294685123706</v>
      </c>
      <c r="F92" s="87">
        <f>F57</f>
        <v>24.494983925203403</v>
      </c>
      <c r="G92" s="87">
        <f>G57</f>
        <v>22.990594623762441</v>
      </c>
      <c r="H92" s="87">
        <f>G92*(1+H106/100)*H43-H60-H61+H62+H63+H64+H65+H66+H73</f>
        <v>24.058397723368714</v>
      </c>
      <c r="I92" s="87">
        <f t="shared" ref="I92:W92" si="31">H92*(1+I106/100)*I43-I60-I61+I62+I63+I64+I65+I66+I73</f>
        <v>25.532197686239329</v>
      </c>
      <c r="J92" s="87">
        <f t="shared" si="31"/>
        <v>27.181173796262485</v>
      </c>
      <c r="K92" s="87">
        <f t="shared" si="31"/>
        <v>28.788769624891899</v>
      </c>
      <c r="L92" s="87">
        <f t="shared" si="31"/>
        <v>30.347880186843586</v>
      </c>
      <c r="M92" s="87">
        <f t="shared" si="31"/>
        <v>31.919352286156322</v>
      </c>
      <c r="N92" s="87">
        <f t="shared" si="31"/>
        <v>33.499788423623954</v>
      </c>
      <c r="O92" s="87">
        <f t="shared" si="31"/>
        <v>35.090702250765311</v>
      </c>
      <c r="P92" s="87">
        <f t="shared" si="31"/>
        <v>36.679754970880005</v>
      </c>
      <c r="Q92" s="87">
        <f t="shared" si="31"/>
        <v>38.243468491090525</v>
      </c>
      <c r="R92" s="87">
        <f t="shared" si="31"/>
        <v>39.783902221158542</v>
      </c>
      <c r="S92" s="87">
        <f t="shared" si="31"/>
        <v>41.291914219995306</v>
      </c>
      <c r="T92" s="87">
        <f t="shared" si="31"/>
        <v>42.801342087846287</v>
      </c>
      <c r="U92" s="87">
        <f t="shared" si="31"/>
        <v>44.332358525565716</v>
      </c>
      <c r="V92" s="87">
        <f t="shared" si="31"/>
        <v>45.889568718675676</v>
      </c>
      <c r="W92" s="87">
        <f t="shared" si="31"/>
        <v>47.505823706318708</v>
      </c>
    </row>
    <row r="93" spans="2:23" x14ac:dyDescent="0.2">
      <c r="B93" s="15" t="s">
        <v>96</v>
      </c>
      <c r="C93" s="23"/>
      <c r="D93" s="23"/>
      <c r="E93" s="180">
        <f>'Input data'!$C$66*E$92</f>
        <v>18.943053878229676</v>
      </c>
      <c r="F93" s="23">
        <f t="shared" ref="F93:W93" si="32">IF(F92=0,0,IF(F87=1,E92*F43/((1+F24/100)*(1+F42/100))-F94-F95,IF(AND(F87=0,F88=1),(1-E98-F39*E99)*E92*F43/((1+F24/100)*(1+F42/100)),F92)))</f>
        <v>19.606605386940984</v>
      </c>
      <c r="G93" s="23">
        <f t="shared" si="32"/>
        <v>21.480312234794081</v>
      </c>
      <c r="H93" s="23">
        <f t="shared" si="32"/>
        <v>20.087515852567961</v>
      </c>
      <c r="I93" s="23">
        <f t="shared" si="32"/>
        <v>21.220937729444323</v>
      </c>
      <c r="J93" s="23">
        <f t="shared" si="32"/>
        <v>22.651349556122103</v>
      </c>
      <c r="K93" s="23">
        <f t="shared" si="32"/>
        <v>24.1843081291271</v>
      </c>
      <c r="L93" s="23">
        <f t="shared" si="32"/>
        <v>25.678172149025031</v>
      </c>
      <c r="M93" s="23">
        <f t="shared" si="32"/>
        <v>27.184933406952993</v>
      </c>
      <c r="N93" s="23">
        <f t="shared" si="32"/>
        <v>28.703161962028659</v>
      </c>
      <c r="O93" s="23">
        <f t="shared" si="32"/>
        <v>30.244373241424338</v>
      </c>
      <c r="P93" s="23">
        <f t="shared" si="32"/>
        <v>31.783663768577284</v>
      </c>
      <c r="Q93" s="23">
        <f t="shared" si="32"/>
        <v>33.228267737959861</v>
      </c>
      <c r="R93" s="23">
        <f t="shared" si="32"/>
        <v>34.650616495075397</v>
      </c>
      <c r="S93" s="23">
        <f t="shared" si="32"/>
        <v>36.052548122874512</v>
      </c>
      <c r="T93" s="23">
        <f t="shared" si="32"/>
        <v>37.452925297697121</v>
      </c>
      <c r="U93" s="23">
        <f t="shared" si="32"/>
        <v>38.853540097286036</v>
      </c>
      <c r="V93" s="23">
        <f t="shared" si="32"/>
        <v>40.270806097176838</v>
      </c>
      <c r="W93" s="23">
        <f t="shared" si="32"/>
        <v>41.711249798001738</v>
      </c>
    </row>
    <row r="94" spans="2:23" x14ac:dyDescent="0.2">
      <c r="B94" s="82" t="s">
        <v>97</v>
      </c>
      <c r="C94" s="23"/>
      <c r="D94" s="23"/>
      <c r="E94" s="180">
        <f>'Input data'!$C$67*E$92</f>
        <v>1.4889803048403729</v>
      </c>
      <c r="F94" s="23">
        <f t="shared" ref="F94:W94" si="33">IF(F92=0,0,IF(F87=1,F39*E92*E99*F43/((1+F24/100)*(1+F42/100)),IF(AND(F87=0,F88=1),(F39*E92*E99*F43/((1+F24/100)*(1+F42/100)))*(1-ABS(F92-E92*F43/((1+F24/100)*(1+F42/100)))/((F39*E92*E99*F43/((1+F24/100)*(1+F42/100)))+(E98*E92*F43/((1+F24/100)*(1+F42/100))))),0)))</f>
        <v>1.7185051439948933</v>
      </c>
      <c r="G94" s="23">
        <f t="shared" si="33"/>
        <v>1.5054894404094392</v>
      </c>
      <c r="H94" s="23">
        <f t="shared" si="33"/>
        <v>1.649083073320337</v>
      </c>
      <c r="I94" s="23">
        <f t="shared" si="33"/>
        <v>1.6836470623391986</v>
      </c>
      <c r="J94" s="23">
        <f t="shared" si="33"/>
        <v>1.7350252615668038</v>
      </c>
      <c r="K94" s="23">
        <f t="shared" si="33"/>
        <v>1.7864688466947787</v>
      </c>
      <c r="L94" s="23">
        <f t="shared" si="33"/>
        <v>1.8271213033937534</v>
      </c>
      <c r="M94" s="23">
        <f t="shared" si="33"/>
        <v>1.8609189954348024</v>
      </c>
      <c r="N94" s="23">
        <f t="shared" si="33"/>
        <v>1.8877222919849757</v>
      </c>
      <c r="O94" s="23">
        <f t="shared" si="33"/>
        <v>1.9082240804735529</v>
      </c>
      <c r="P94" s="23">
        <f t="shared" si="33"/>
        <v>1.9207941370079251</v>
      </c>
      <c r="Q94" s="23">
        <f t="shared" si="33"/>
        <v>2.0080964333980513</v>
      </c>
      <c r="R94" s="23">
        <f t="shared" si="33"/>
        <v>2.094053772153599</v>
      </c>
      <c r="S94" s="23">
        <f t="shared" si="33"/>
        <v>2.1787772348345986</v>
      </c>
      <c r="T94" s="23">
        <f t="shared" si="33"/>
        <v>2.2634067566727425</v>
      </c>
      <c r="U94" s="23">
        <f t="shared" si="33"/>
        <v>2.3480506389779863</v>
      </c>
      <c r="V94" s="23">
        <f t="shared" si="33"/>
        <v>2.433700809549646</v>
      </c>
      <c r="W94" s="23">
        <f t="shared" si="33"/>
        <v>2.5207516868613369</v>
      </c>
    </row>
    <row r="95" spans="2:23" x14ac:dyDescent="0.2">
      <c r="B95" s="82" t="s">
        <v>98</v>
      </c>
      <c r="C95" s="23"/>
      <c r="D95" s="23"/>
      <c r="E95" s="180">
        <f>'Input data'!$C$68*E$92</f>
        <v>0</v>
      </c>
      <c r="F95" s="23">
        <f t="shared" ref="F95:W95" si="34">IF(F92=0,0,IF(F87=1,(1-E99)*E92*F43/((1+F24/100)*(1+F42/100)),IF(AND(F87=0,F88=1),(E98*E92*F43/((1+F24/100)*(1+F42/100)))*(1-ABS(F92-E92*F43/((1+F24/100)*(1+F42/100)))/((F39*E92*E99*F43/((1+F24/100)*(1+F42/100)))+(E98*E92*F43/((1+F24/100)*(1+F42/100))))),0)))</f>
        <v>0</v>
      </c>
      <c r="G95" s="23">
        <f t="shared" si="34"/>
        <v>4.7929485589202009E-3</v>
      </c>
      <c r="H95" s="23">
        <f t="shared" si="34"/>
        <v>4.5324675627909216E-3</v>
      </c>
      <c r="I95" s="23">
        <f t="shared" si="34"/>
        <v>8.5628954400596806E-3</v>
      </c>
      <c r="J95" s="23">
        <f t="shared" si="34"/>
        <v>1.2998450100966652E-2</v>
      </c>
      <c r="K95" s="23">
        <f t="shared" si="34"/>
        <v>1.7545312885546931E-2</v>
      </c>
      <c r="L95" s="23">
        <f t="shared" si="34"/>
        <v>2.1928414113201362E-2</v>
      </c>
      <c r="M95" s="23">
        <f t="shared" si="34"/>
        <v>2.6205343558094282E-2</v>
      </c>
      <c r="N95" s="23">
        <f t="shared" si="34"/>
        <v>3.0395055189880841E-2</v>
      </c>
      <c r="O95" s="23">
        <f t="shared" si="34"/>
        <v>3.4525285194138937E-2</v>
      </c>
      <c r="P95" s="23">
        <f t="shared" si="34"/>
        <v>3.8571263048267308E-2</v>
      </c>
      <c r="Q95" s="23">
        <f t="shared" si="34"/>
        <v>4.2532633193583004E-2</v>
      </c>
      <c r="R95" s="23">
        <f t="shared" si="34"/>
        <v>4.6404565669191121E-2</v>
      </c>
      <c r="S95" s="23">
        <f t="shared" si="34"/>
        <v>5.0192910986740079E-2</v>
      </c>
      <c r="T95" s="23">
        <f t="shared" si="34"/>
        <v>5.3921796453704166E-2</v>
      </c>
      <c r="U95" s="23">
        <f t="shared" si="34"/>
        <v>5.7600662049777207E-2</v>
      </c>
      <c r="V95" s="23">
        <f t="shared" si="34"/>
        <v>6.1269046975351751E-2</v>
      </c>
      <c r="W95" s="23">
        <f t="shared" si="34"/>
        <v>6.4944261406171822E-2</v>
      </c>
    </row>
    <row r="96" spans="2:23" x14ac:dyDescent="0.2">
      <c r="B96" s="82" t="s">
        <v>99</v>
      </c>
      <c r="C96" s="23"/>
      <c r="D96" s="23"/>
      <c r="E96" s="180">
        <f>'Input data'!$C$69*E$92</f>
        <v>2.4522645020544749</v>
      </c>
      <c r="F96" s="23">
        <f>IF(F92=0,0,IF(F87=1,'Input data'!$C$58*(F92-E92*F43/((1+F24/100)*(1+F42/100))),0))</f>
        <v>3.1637745578569554</v>
      </c>
      <c r="G96" s="23">
        <f>IF(G92=0,0,IF(G87=1,'Input data'!$C$58*(G92-F92*G43/((1+G24/100)*(1+G42/100))),0))</f>
        <v>0</v>
      </c>
      <c r="H96" s="23">
        <f>IF(H92=0,0,IF(H87=1,'Input data'!$C$58*(H92-G92*H43/((1+H24/100)*(1+H42/100))),0))</f>
        <v>2.3128079094988641</v>
      </c>
      <c r="I96" s="23">
        <f>IF(I92=0,0,IF(I87=1,'Input data'!$C$58*(I92-H92*I43/((1+I24/100)*(1+I42/100))),0))</f>
        <v>2.6140109468176407</v>
      </c>
      <c r="J96" s="23">
        <f>IF(J92=0,0,IF(J87=1,'Input data'!$C$58*(J92-I92*J43/((1+J24/100)*(1+J42/100))),0))</f>
        <v>2.7764483442558308</v>
      </c>
      <c r="K96" s="23">
        <f>IF(K92=0,0,IF(K87=1,'Input data'!$C$58*(K92-J92*K43/((1+K24/100)*(1+K42/100))),0))</f>
        <v>2.795059275509657</v>
      </c>
      <c r="L96" s="23">
        <f>IF(L92=0,0,IF(L87=1,'Input data'!$C$58*(L92-K92*L43/((1+L24/100)*(1+L42/100))),0))</f>
        <v>2.8152313737033214</v>
      </c>
      <c r="M96" s="23">
        <f>IF(M92=0,0,IF(M87=1,'Input data'!$C$58*(M92-L92*M43/((1+M24/100)*(1+M42/100))),0))</f>
        <v>2.8418163455150696</v>
      </c>
      <c r="N96" s="23">
        <f>IF(N92=0,0,IF(N87=1,'Input data'!$C$58*(N92-M92*N43/((1+N24/100)*(1+N42/100))),0))</f>
        <v>2.8729708628842938</v>
      </c>
      <c r="O96" s="23">
        <f>IF(O92=0,0,IF(O87=1,'Input data'!$C$58*(O92-N92*O43/((1+O24/100)*(1+O42/100))),0))</f>
        <v>2.8979931564388548</v>
      </c>
      <c r="P96" s="23">
        <f>IF(P92=0,0,IF(P87=1,'Input data'!$C$58*(P92-O92*P43/((1+P24/100)*(1+P42/100))),0))</f>
        <v>2.9310755418030054</v>
      </c>
      <c r="Q96" s="23">
        <f>IF(Q92=0,0,IF(Q87=1,'Input data'!$C$58*(Q92-P92*Q43/((1+Q24/100)*(1+Q42/100))),0))</f>
        <v>2.9588678506141299</v>
      </c>
      <c r="R96" s="23">
        <f>IF(R92=0,0,IF(R87=1,'Input data'!$C$58*(R92-Q92*R43/((1+R24/100)*(1+R42/100))),0))</f>
        <v>2.9870691883653389</v>
      </c>
      <c r="S96" s="23">
        <f>IF(S92=0,0,IF(S87=1,'Input data'!$C$58*(S92-R92*S43/((1+S24/100)*(1+S42/100))),0))</f>
        <v>3.0046039494891574</v>
      </c>
      <c r="T96" s="23">
        <f>IF(T92=0,0,IF(T87=1,'Input data'!$C$58*(T92-S92*T43/((1+T24/100)*(1+T42/100))),0))</f>
        <v>3.025256423254683</v>
      </c>
      <c r="U96" s="23">
        <f>IF(U92=0,0,IF(U87=1,'Input data'!$C$58*(U92-T92*U43/((1+U24/100)*(1+U42/100))),0))</f>
        <v>3.0672543536990808</v>
      </c>
      <c r="V96" s="23">
        <f>IF(V92=0,0,IF(V87=1,'Input data'!$C$58*(V92-U92*V43/((1+V24/100)*(1+V42/100))),0))</f>
        <v>3.1177825876940255</v>
      </c>
      <c r="W96" s="23">
        <f>IF(W92=0,0,IF(W87=1,'Input data'!$C$58*(W92-V92*W43/((1+W24/100)*(1+W42/100))),0))</f>
        <v>3.2027040788543282</v>
      </c>
    </row>
    <row r="97" spans="2:25" x14ac:dyDescent="0.2">
      <c r="B97" s="84" t="s">
        <v>100</v>
      </c>
      <c r="C97" s="35"/>
      <c r="D97" s="35"/>
      <c r="E97" s="181">
        <f>'Input data'!$C$70*E$92</f>
        <v>0</v>
      </c>
      <c r="F97" s="35">
        <f>IF(F92=0,0,IF(F87=1,'Input data'!$C$57*(F92-E92*F43/((1+F24/100)*(1+F42/100))),0))</f>
        <v>6.0988364105707196E-3</v>
      </c>
      <c r="G97" s="35">
        <f>IF(G92=0,0,IF(G87=1,'Input data'!$C$57*(G92-F92*G43/((1+G24/100)*(1+G42/100))),0))</f>
        <v>0</v>
      </c>
      <c r="H97" s="35">
        <f>IF(H92=0,0,IF(H87=1,'Input data'!$C$57*(H92-G92*H43/((1+H24/100)*(1+H42/100))),0))</f>
        <v>4.4584204187615118E-3</v>
      </c>
      <c r="I97" s="35">
        <f>IF(I92=0,0,IF(I87=1,'Input data'!$C$57*(I92-H92*I43/((1+I24/100)*(1+I42/100))),0))</f>
        <v>5.0390521981062966E-3</v>
      </c>
      <c r="J97" s="35">
        <f>IF(J92=0,0,IF(J87=1,'Input data'!$C$57*(J92-I92*J43/((1+J24/100)*(1+J42/100))),0))</f>
        <v>5.352184216781305E-3</v>
      </c>
      <c r="K97" s="35">
        <f>IF(K92=0,0,IF(K87=1,'Input data'!$C$57*(K92-J92*K43/((1+K24/100)*(1+K42/100))),0))</f>
        <v>5.3880606748189317E-3</v>
      </c>
      <c r="L97" s="35">
        <f>IF(L92=0,0,IF(L87=1,'Input data'!$C$57*(L92-K92*L43/((1+L24/100)*(1+L42/100))),0))</f>
        <v>5.4269466082795207E-3</v>
      </c>
      <c r="M97" s="35">
        <f>IF(M92=0,0,IF(M87=1,'Input data'!$C$57*(M92-L92*M43/((1+M24/100)*(1+M42/100))),0))</f>
        <v>5.4781946953648755E-3</v>
      </c>
      <c r="N97" s="35">
        <f>IF(N92=0,0,IF(N87=1,'Input data'!$C$57*(N92-M92*N43/((1+N24/100)*(1+N42/100))),0))</f>
        <v>5.5382515361449237E-3</v>
      </c>
      <c r="O97" s="35">
        <f>IF(O92=0,0,IF(O87=1,'Input data'!$C$57*(O92-N92*O43/((1+O24/100)*(1+O42/100))),0))</f>
        <v>5.5864872344273953E-3</v>
      </c>
      <c r="P97" s="35">
        <f>IF(P92=0,0,IF(P87=1,'Input data'!$C$57*(P92-O92*P43/((1+P24/100)*(1+P42/100))),0))</f>
        <v>5.6502604435223194E-3</v>
      </c>
      <c r="Q97" s="35">
        <f>IF(Q92=0,0,IF(Q87=1,'Input data'!$C$57*(Q92-P92*Q43/((1+Q24/100)*(1+Q42/100))),0))</f>
        <v>5.7038359249010958E-3</v>
      </c>
      <c r="R97" s="35">
        <f>IF(R92=0,0,IF(R87=1,'Input data'!$C$57*(R92-Q92*R43/((1+R24/100)*(1+R42/100))),0))</f>
        <v>5.7581998950129174E-3</v>
      </c>
      <c r="S97" s="35">
        <f>IF(S92=0,0,IF(S87=1,'Input data'!$C$57*(S92-R92*S43/((1+S24/100)*(1+S42/100))),0))</f>
        <v>5.7920018103001566E-3</v>
      </c>
      <c r="T97" s="35">
        <f>IF(T92=0,0,IF(T87=1,'Input data'!$C$57*(T92-S92*T43/((1+T24/100)*(1+T42/100))),0))</f>
        <v>5.8318137680317033E-3</v>
      </c>
      <c r="U97" s="35">
        <f>IF(U92=0,0,IF(U87=1,'Input data'!$C$57*(U92-T92*U43/((1+U24/100)*(1+U42/100))),0))</f>
        <v>5.9127735528326821E-3</v>
      </c>
      <c r="V97" s="35">
        <f>IF(V92=0,0,IF(V87=1,'Input data'!$C$57*(V92-U92*V43/((1+V24/100)*(1+V42/100))),0))</f>
        <v>6.0101772798096592E-3</v>
      </c>
      <c r="W97" s="35">
        <f>IF(W92=0,0,IF(W87=1,'Input data'!$C$57*(W92-V92*W43/((1+W24/100)*(1+W42/100))),0))</f>
        <v>6.1738811951351667E-3</v>
      </c>
    </row>
    <row r="98" spans="2:25" x14ac:dyDescent="0.2">
      <c r="B98" s="15" t="s">
        <v>51</v>
      </c>
      <c r="C98" s="25"/>
      <c r="D98" s="25"/>
      <c r="E98" s="185">
        <f>'Baseline NFPC'!E$93</f>
        <v>0</v>
      </c>
      <c r="F98" s="25">
        <f t="shared" ref="F98:W98" si="35">IF(F92&lt;&gt;0,(F95+F97)/(F93+F94+F95+F96+F97),0)</f>
        <v>2.4898307462433149E-4</v>
      </c>
      <c r="G98" s="25">
        <f t="shared" si="35"/>
        <v>2.084743190576873E-4</v>
      </c>
      <c r="H98" s="25">
        <f t="shared" si="35"/>
        <v>3.7371100457032045E-4</v>
      </c>
      <c r="I98" s="25">
        <f t="shared" si="35"/>
        <v>5.3273704854231159E-4</v>
      </c>
      <c r="J98" s="25">
        <f t="shared" si="35"/>
        <v>6.7512295294146717E-4</v>
      </c>
      <c r="K98" s="25">
        <f t="shared" si="35"/>
        <v>7.9660832537062549E-4</v>
      </c>
      <c r="L98" s="25">
        <f t="shared" si="35"/>
        <v>9.0139280085005673E-4</v>
      </c>
      <c r="M98" s="25">
        <f t="shared" si="35"/>
        <v>9.926121924222302E-4</v>
      </c>
      <c r="N98" s="25">
        <f t="shared" si="35"/>
        <v>1.0726427961761603E-3</v>
      </c>
      <c r="O98" s="25">
        <f t="shared" si="35"/>
        <v>1.1430883355345648E-3</v>
      </c>
      <c r="P98" s="25">
        <f t="shared" si="35"/>
        <v>1.2056112023348308E-3</v>
      </c>
      <c r="Q98" s="25">
        <f t="shared" si="35"/>
        <v>1.2612995374549154E-3</v>
      </c>
      <c r="R98" s="25">
        <f t="shared" si="35"/>
        <v>1.3111525680470318E-3</v>
      </c>
      <c r="S98" s="25">
        <f t="shared" si="35"/>
        <v>1.355832342835052E-3</v>
      </c>
      <c r="T98" s="25">
        <f t="shared" si="35"/>
        <v>1.3960686115658809E-3</v>
      </c>
      <c r="U98" s="25">
        <f>IF(U92&lt;&gt;0,(U95+U97)/(U93+U94+U95+U96+U97),0)</f>
        <v>1.4326653874276228E-3</v>
      </c>
      <c r="V98" s="25">
        <f t="shared" si="35"/>
        <v>1.4661114962229048E-3</v>
      </c>
      <c r="W98" s="23">
        <f t="shared" si="35"/>
        <v>1.4970405110952243E-3</v>
      </c>
    </row>
    <row r="99" spans="2:25" x14ac:dyDescent="0.2">
      <c r="B99" s="24" t="s">
        <v>52</v>
      </c>
      <c r="C99" s="85"/>
      <c r="D99" s="85"/>
      <c r="E99" s="186">
        <f>'Baseline NFPC'!E$94</f>
        <v>1</v>
      </c>
      <c r="F99" s="85">
        <f t="shared" ref="F99:W99" si="36">IF(F92&lt;&gt;0,(F93+F94+F96)/(F93+F94+F95+F96+F97),1)</f>
        <v>0.99975101692537571</v>
      </c>
      <c r="G99" s="85">
        <f t="shared" si="36"/>
        <v>0.99979152568094243</v>
      </c>
      <c r="H99" s="85">
        <f t="shared" si="36"/>
        <v>0.99962628899542971</v>
      </c>
      <c r="I99" s="85">
        <f t="shared" si="36"/>
        <v>0.9994672629514576</v>
      </c>
      <c r="J99" s="85">
        <f t="shared" si="36"/>
        <v>0.99932487704705852</v>
      </c>
      <c r="K99" s="85">
        <f t="shared" si="36"/>
        <v>0.99920339167462946</v>
      </c>
      <c r="L99" s="85">
        <f t="shared" si="36"/>
        <v>0.99909860719914989</v>
      </c>
      <c r="M99" s="85">
        <f t="shared" si="36"/>
        <v>0.99900738780757781</v>
      </c>
      <c r="N99" s="85">
        <f t="shared" si="36"/>
        <v>0.99892735720382375</v>
      </c>
      <c r="O99" s="85">
        <f t="shared" si="36"/>
        <v>0.99885691166446544</v>
      </c>
      <c r="P99" s="85">
        <f t="shared" si="36"/>
        <v>0.99879438879766513</v>
      </c>
      <c r="Q99" s="85">
        <f t="shared" si="36"/>
        <v>0.99873870046254543</v>
      </c>
      <c r="R99" s="85">
        <f t="shared" si="36"/>
        <v>0.99868884743195296</v>
      </c>
      <c r="S99" s="85">
        <f t="shared" si="36"/>
        <v>0.99864416765716502</v>
      </c>
      <c r="T99" s="85">
        <f t="shared" si="36"/>
        <v>0.99860393138843406</v>
      </c>
      <c r="U99" s="85">
        <f t="shared" si="36"/>
        <v>0.99856733461257241</v>
      </c>
      <c r="V99" s="85">
        <f t="shared" si="36"/>
        <v>0.998533888503777</v>
      </c>
      <c r="W99" s="35">
        <f t="shared" si="36"/>
        <v>0.99850295948890477</v>
      </c>
    </row>
    <row r="100" spans="2:25" x14ac:dyDescent="0.2">
      <c r="C100" s="27"/>
      <c r="D100" s="27"/>
      <c r="E100" s="27"/>
      <c r="F100" s="27"/>
      <c r="G100" s="27"/>
      <c r="H100" s="27"/>
      <c r="I100" s="27"/>
      <c r="J100" s="27"/>
      <c r="K100" s="27"/>
      <c r="L100" s="27"/>
      <c r="M100" s="27"/>
      <c r="N100" s="27"/>
      <c r="O100" s="27"/>
      <c r="P100" s="27"/>
      <c r="Q100" s="27"/>
      <c r="R100" s="27"/>
      <c r="S100" s="27"/>
      <c r="T100" s="27"/>
      <c r="U100" s="27"/>
      <c r="V100" s="27"/>
      <c r="W100" s="27"/>
    </row>
    <row r="101" spans="2:25" x14ac:dyDescent="0.2">
      <c r="B101" s="89" t="s">
        <v>101</v>
      </c>
      <c r="C101" s="91">
        <f>'Baseline NFPC'!C96</f>
        <v>2.2892730000000001</v>
      </c>
      <c r="D101" s="91">
        <f>'Baseline NFPC'!D96</f>
        <v>1.9552499999999999</v>
      </c>
      <c r="E101" s="91">
        <f>'Baseline NFPC'!E96</f>
        <v>2.4150100000000001</v>
      </c>
      <c r="F101" s="91">
        <f>'Baseline NFPC'!F96</f>
        <v>2.7772610000000002</v>
      </c>
      <c r="G101" s="91">
        <f>'Baseline NFPC'!G96</f>
        <v>2.4995349999999998</v>
      </c>
      <c r="H101" s="91">
        <f t="shared" ref="H101:W101" si="37">H103+H104</f>
        <v>2.499554621800022</v>
      </c>
      <c r="I101" s="91">
        <f t="shared" si="37"/>
        <v>2.7926776612846349</v>
      </c>
      <c r="J101" s="91">
        <f>J103+J104</f>
        <v>3.0625941070404386</v>
      </c>
      <c r="K101" s="91">
        <f t="shared" si="37"/>
        <v>3.3033300896154638</v>
      </c>
      <c r="L101" s="91">
        <f t="shared" si="37"/>
        <v>3.5144344826625002</v>
      </c>
      <c r="M101" s="91">
        <f t="shared" si="37"/>
        <v>3.7029369986444638</v>
      </c>
      <c r="N101" s="91">
        <f t="shared" si="37"/>
        <v>3.8739409019417423</v>
      </c>
      <c r="O101" s="91">
        <f t="shared" si="37"/>
        <v>4.0312002888486678</v>
      </c>
      <c r="P101" s="91">
        <f t="shared" si="37"/>
        <v>4.1772448598488365</v>
      </c>
      <c r="Q101" s="91">
        <f t="shared" si="37"/>
        <v>4.2914684211837368</v>
      </c>
      <c r="R101" s="91">
        <f t="shared" si="37"/>
        <v>4.3816141772308947</v>
      </c>
      <c r="S101" s="91">
        <f t="shared" si="37"/>
        <v>4.4517008840901573</v>
      </c>
      <c r="T101" s="91">
        <f t="shared" si="37"/>
        <v>4.5048668274890122</v>
      </c>
      <c r="U101" s="91">
        <f t="shared" si="37"/>
        <v>4.5438201456468592</v>
      </c>
      <c r="V101" s="91">
        <f t="shared" si="37"/>
        <v>4.5708411285979125</v>
      </c>
      <c r="W101" s="91">
        <f t="shared" si="37"/>
        <v>4.5876708051906281</v>
      </c>
    </row>
    <row r="102" spans="2:25" x14ac:dyDescent="0.2">
      <c r="B102" s="22" t="s">
        <v>102</v>
      </c>
      <c r="C102" s="23"/>
      <c r="D102" s="23"/>
      <c r="E102" s="23"/>
      <c r="F102" s="190">
        <f>((F36*E92)-(F38*(E95+E97)))/(E93+E94+E96)</f>
        <v>2.7772605145559659</v>
      </c>
      <c r="G102" s="190">
        <f>((G36*F92)-(G38*(F95+F97)))/(F93+F94+F96)</f>
        <v>2.4998019123239978</v>
      </c>
      <c r="H102" s="23">
        <f>IF(G92&gt;0,(G102*G93+
('Baseline NFPC'!H$97*(G93+G94+G96)-'Baseline NFPC'!G$97*G93)/(G94+G96)
*(G96+G94))/(G93+G94+G96),H37)</f>
        <v>2.4997928038771331</v>
      </c>
      <c r="I102" s="23">
        <f t="shared" ref="I102:W102" si="38">IF(H92&gt;0,(H102*H93+I37*(H96+H94))/(H93+H94+H96),I37)</f>
        <v>2.7931486934338814</v>
      </c>
      <c r="J102" s="23">
        <f t="shared" si="38"/>
        <v>3.0633160440770411</v>
      </c>
      <c r="K102" s="23">
        <f t="shared" si="38"/>
        <v>3.3042892244564692</v>
      </c>
      <c r="L102" s="23">
        <f t="shared" si="38"/>
        <v>3.5155947815481898</v>
      </c>
      <c r="M102" s="23">
        <f t="shared" si="38"/>
        <v>3.7042618453624261</v>
      </c>
      <c r="N102" s="23">
        <f t="shared" si="38"/>
        <v>3.8753955478604083</v>
      </c>
      <c r="O102" s="23">
        <f t="shared" si="38"/>
        <v>4.0327528227242357</v>
      </c>
      <c r="P102" s="23">
        <f t="shared" si="38"/>
        <v>4.1788658343631164</v>
      </c>
      <c r="Q102" s="23">
        <f t="shared" si="38"/>
        <v>4.2933619564968986</v>
      </c>
      <c r="R102" s="23">
        <f t="shared" si="38"/>
        <v>4.3837571720300943</v>
      </c>
      <c r="S102" s="23">
        <f t="shared" si="38"/>
        <v>4.454070648981034</v>
      </c>
      <c r="T102" s="23">
        <f t="shared" si="38"/>
        <v>4.507441283682045</v>
      </c>
      <c r="U102" s="23">
        <f t="shared" si="38"/>
        <v>4.5465787475534407</v>
      </c>
      <c r="V102" s="23">
        <f t="shared" si="38"/>
        <v>4.5737654930564418</v>
      </c>
      <c r="W102" s="23">
        <f t="shared" si="38"/>
        <v>4.590744103447352</v>
      </c>
    </row>
    <row r="103" spans="2:25" x14ac:dyDescent="0.2">
      <c r="B103" s="15" t="s">
        <v>103</v>
      </c>
      <c r="C103" s="23"/>
      <c r="D103" s="23"/>
      <c r="E103" s="23"/>
      <c r="F103" s="23">
        <f t="shared" ref="F103:W103" si="39">(F102*(E93+E94+E96)+F38*(E95+E97))/E92</f>
        <v>2.7772610000000002</v>
      </c>
      <c r="G103" s="23">
        <f t="shared" si="39"/>
        <v>2.4995349999999998</v>
      </c>
      <c r="H103" s="23">
        <f t="shared" si="39"/>
        <v>2.499554621800022</v>
      </c>
      <c r="I103" s="23">
        <f t="shared" si="39"/>
        <v>2.7926776612846349</v>
      </c>
      <c r="J103" s="23">
        <f t="shared" si="39"/>
        <v>3.0625941070404386</v>
      </c>
      <c r="K103" s="23">
        <f t="shared" si="39"/>
        <v>3.3033300896154638</v>
      </c>
      <c r="L103" s="23">
        <f t="shared" si="39"/>
        <v>3.5144344826625002</v>
      </c>
      <c r="M103" s="23">
        <f t="shared" si="39"/>
        <v>3.7029369986444638</v>
      </c>
      <c r="N103" s="23">
        <f t="shared" si="39"/>
        <v>3.8739409019417423</v>
      </c>
      <c r="O103" s="23">
        <f t="shared" si="39"/>
        <v>4.0312002888486678</v>
      </c>
      <c r="P103" s="23">
        <f t="shared" si="39"/>
        <v>4.1772448598488365</v>
      </c>
      <c r="Q103" s="23">
        <f t="shared" si="39"/>
        <v>4.2914684211837368</v>
      </c>
      <c r="R103" s="23">
        <f t="shared" si="39"/>
        <v>4.3816141772308947</v>
      </c>
      <c r="S103" s="23">
        <f t="shared" si="39"/>
        <v>4.4517008840901573</v>
      </c>
      <c r="T103" s="23">
        <f t="shared" si="39"/>
        <v>4.5048668274890122</v>
      </c>
      <c r="U103" s="23">
        <f t="shared" si="39"/>
        <v>4.5438201456468592</v>
      </c>
      <c r="V103" s="23">
        <f t="shared" si="39"/>
        <v>4.5708411285979125</v>
      </c>
      <c r="W103" s="23">
        <f t="shared" si="39"/>
        <v>4.5876708051906281</v>
      </c>
    </row>
    <row r="104" spans="2:25" x14ac:dyDescent="0.2">
      <c r="B104" s="24" t="s">
        <v>104</v>
      </c>
      <c r="C104" s="90"/>
      <c r="D104" s="90"/>
      <c r="E104" s="35"/>
      <c r="F104" s="35">
        <f>IF('Criteria results'!$F$5=4,F115,F120)</f>
        <v>0</v>
      </c>
      <c r="G104" s="35">
        <f>IF('Criteria results'!$F$5=4,G115,G120)</f>
        <v>0</v>
      </c>
      <c r="H104" s="35">
        <f>IF('Criteria results'!$F$5=4,H115,H120)</f>
        <v>0</v>
      </c>
      <c r="I104" s="35">
        <f>IF('Criteria results'!$F$5=4,I115,I120)</f>
        <v>0</v>
      </c>
      <c r="J104" s="35">
        <f>IF('Criteria results'!$F$5=4,J115,J120)</f>
        <v>0</v>
      </c>
      <c r="K104" s="35">
        <f>IF('Criteria results'!$F$5=4,K115,K120)</f>
        <v>0</v>
      </c>
      <c r="L104" s="35">
        <f>IF('Criteria results'!$F$5=4,L115,L120)</f>
        <v>0</v>
      </c>
      <c r="M104" s="35">
        <f>IF('Criteria results'!$F$5=4,M115,M120)</f>
        <v>0</v>
      </c>
      <c r="N104" s="35">
        <f>IF('Criteria results'!$F$5=4,N115,N120)</f>
        <v>0</v>
      </c>
      <c r="O104" s="35">
        <f>IF('Criteria results'!$F$5=4,O115,O120)</f>
        <v>0</v>
      </c>
      <c r="P104" s="35">
        <f>IF('Criteria results'!$F$5=4,P115,P120)</f>
        <v>0</v>
      </c>
      <c r="Q104" s="35">
        <f>IF('Criteria results'!$F$5=4,Q115,Q120)</f>
        <v>0</v>
      </c>
      <c r="R104" s="35">
        <f>IF('Criteria results'!$F$5=4,R115,R120)</f>
        <v>0</v>
      </c>
      <c r="S104" s="35">
        <f>IF('Criteria results'!$F$5=4,S115,S120)</f>
        <v>0</v>
      </c>
      <c r="T104" s="35">
        <f>IF('Criteria results'!$F$5=4,T115,T120)</f>
        <v>0</v>
      </c>
      <c r="U104" s="35">
        <f>IF('Criteria results'!$F$5=4,U115,U120)</f>
        <v>0</v>
      </c>
      <c r="V104" s="35">
        <f>IF('Criteria results'!$F$5=4,V115,V120)</f>
        <v>0</v>
      </c>
      <c r="W104" s="35">
        <f>IF('Criteria results'!$F$5=4,W115,W120)</f>
        <v>0</v>
      </c>
    </row>
    <row r="105" spans="2:25" x14ac:dyDescent="0.2">
      <c r="C105" s="27"/>
      <c r="D105" s="27"/>
      <c r="E105" s="27"/>
      <c r="F105" s="27"/>
      <c r="G105" s="23"/>
      <c r="H105" s="23"/>
      <c r="I105" s="23"/>
      <c r="J105" s="23"/>
      <c r="K105" s="23"/>
      <c r="L105" s="23"/>
      <c r="M105" s="23"/>
      <c r="N105" s="23"/>
      <c r="O105" s="23"/>
      <c r="P105" s="23"/>
      <c r="Q105" s="23"/>
      <c r="R105" s="23"/>
      <c r="S105" s="23"/>
      <c r="T105" s="23"/>
      <c r="U105" s="23"/>
      <c r="V105" s="23"/>
      <c r="W105" s="23"/>
    </row>
    <row r="106" spans="2:25" x14ac:dyDescent="0.2">
      <c r="B106" s="89" t="s">
        <v>133</v>
      </c>
      <c r="C106" s="91">
        <f t="shared" ref="C106:W106" si="40">((1+C101/100)/((1+C24/100)*(1+C42/100))-1)*100</f>
        <v>-11.276004958408825</v>
      </c>
      <c r="D106" s="91">
        <f t="shared" si="40"/>
        <v>-15.460015302618512</v>
      </c>
      <c r="E106" s="91">
        <f t="shared" si="40"/>
        <v>-6.9137865845611763</v>
      </c>
      <c r="F106" s="91">
        <f t="shared" si="40"/>
        <v>-4.2231070275995597</v>
      </c>
      <c r="G106" s="91">
        <f t="shared" si="40"/>
        <v>-2.4638305389167892</v>
      </c>
      <c r="H106" s="91">
        <f t="shared" si="40"/>
        <v>-3.0709591782588919</v>
      </c>
      <c r="I106" s="91">
        <f t="shared" si="40"/>
        <v>-2.1005541806967787</v>
      </c>
      <c r="J106" s="91">
        <f t="shared" si="40"/>
        <v>-1.5101349885095483</v>
      </c>
      <c r="K106" s="91">
        <f t="shared" si="40"/>
        <v>-1.2301581974061837</v>
      </c>
      <c r="L106" s="91">
        <f t="shared" si="40"/>
        <v>-1.0216538768269889</v>
      </c>
      <c r="M106" s="91">
        <f t="shared" si="40"/>
        <v>-0.65672612758694848</v>
      </c>
      <c r="N106" s="91">
        <f t="shared" si="40"/>
        <v>-0.35032889168067349</v>
      </c>
      <c r="O106" s="91">
        <f t="shared" si="40"/>
        <v>-4.5189649651877772E-2</v>
      </c>
      <c r="P106" s="91">
        <f t="shared" si="40"/>
        <v>0.17627424190647112</v>
      </c>
      <c r="Q106" s="91">
        <f t="shared" si="40"/>
        <v>0.30841140970168102</v>
      </c>
      <c r="R106" s="91">
        <f t="shared" si="40"/>
        <v>0.41745505557047036</v>
      </c>
      <c r="S106" s="91">
        <f t="shared" si="40"/>
        <v>0.50722710312878228</v>
      </c>
      <c r="T106" s="91">
        <f t="shared" si="40"/>
        <v>0.65372751266512541</v>
      </c>
      <c r="U106" s="91">
        <f t="shared" si="40"/>
        <v>0.7770615240813461</v>
      </c>
      <c r="V106" s="91">
        <f t="shared" si="40"/>
        <v>0.87559768372826863</v>
      </c>
      <c r="W106" s="91">
        <f t="shared" si="40"/>
        <v>0.95789759516173856</v>
      </c>
    </row>
    <row r="107" spans="2:25" x14ac:dyDescent="0.2">
      <c r="F107" s="23"/>
      <c r="G107" s="23"/>
      <c r="H107" s="23"/>
      <c r="I107" s="23"/>
      <c r="J107" s="23"/>
      <c r="K107" s="23"/>
      <c r="L107" s="23"/>
      <c r="M107" s="23"/>
      <c r="N107" s="23"/>
      <c r="O107" s="23"/>
      <c r="P107" s="23"/>
      <c r="Q107" s="23"/>
      <c r="R107" s="23"/>
      <c r="S107" s="23"/>
      <c r="T107" s="23"/>
      <c r="U107" s="23"/>
      <c r="V107" s="23"/>
      <c r="W107" s="23"/>
    </row>
    <row r="108" spans="2:25" x14ac:dyDescent="0.2">
      <c r="B108" s="334"/>
      <c r="C108" s="334"/>
      <c r="D108" s="334"/>
      <c r="E108" s="334"/>
      <c r="F108" s="335"/>
      <c r="G108" s="336"/>
      <c r="H108" s="336"/>
      <c r="I108" s="179"/>
      <c r="J108" s="179"/>
      <c r="K108" s="179"/>
      <c r="L108" s="179"/>
      <c r="M108" s="179"/>
      <c r="N108" s="179"/>
      <c r="O108" s="179"/>
      <c r="P108" s="179"/>
      <c r="Q108" s="179"/>
      <c r="R108" s="179"/>
      <c r="S108" s="179"/>
      <c r="T108" s="179"/>
      <c r="U108" s="23"/>
      <c r="V108" s="23"/>
      <c r="W108" s="23"/>
    </row>
    <row r="109" spans="2:25" x14ac:dyDescent="0.2">
      <c r="T109" s="47"/>
      <c r="U109" s="47"/>
      <c r="V109" s="47"/>
      <c r="W109" s="47"/>
      <c r="X109" s="47"/>
      <c r="Y109" s="47"/>
    </row>
    <row r="110" spans="2:25" s="14" customFormat="1" ht="12.75" outlineLevel="1" x14ac:dyDescent="0.2">
      <c r="B110" s="14" t="s">
        <v>105</v>
      </c>
      <c r="C110" s="88"/>
      <c r="D110" s="88"/>
      <c r="E110" s="88"/>
      <c r="F110" s="88"/>
      <c r="G110" s="88"/>
      <c r="H110" s="88"/>
      <c r="I110" s="88"/>
      <c r="J110" s="88"/>
      <c r="K110" s="88"/>
      <c r="L110" s="88"/>
      <c r="M110" s="88"/>
      <c r="N110" s="88"/>
      <c r="O110" s="88"/>
      <c r="P110" s="88"/>
      <c r="Q110" s="88"/>
      <c r="R110" s="88"/>
      <c r="S110" s="88"/>
      <c r="T110" s="88"/>
      <c r="U110" s="88"/>
      <c r="V110" s="88"/>
      <c r="W110" s="88"/>
    </row>
    <row r="111" spans="2:25" s="79" customFormat="1" ht="12.75" outlineLevel="1" x14ac:dyDescent="0.2">
      <c r="C111" s="98"/>
      <c r="D111" s="98"/>
      <c r="E111" s="98"/>
      <c r="F111" s="98"/>
      <c r="G111" s="98"/>
      <c r="H111" s="98"/>
      <c r="I111" s="98"/>
      <c r="J111" s="98"/>
      <c r="K111" s="98"/>
      <c r="L111" s="98"/>
      <c r="M111" s="98"/>
      <c r="N111" s="98"/>
      <c r="O111" s="98"/>
      <c r="P111" s="98"/>
      <c r="Q111" s="98"/>
      <c r="R111" s="98"/>
      <c r="S111" s="98"/>
      <c r="T111" s="98"/>
      <c r="U111" s="98"/>
      <c r="V111" s="98"/>
      <c r="W111" s="98"/>
    </row>
    <row r="112" spans="2:25" s="79" customFormat="1" ht="12.75" outlineLevel="1" x14ac:dyDescent="0.2">
      <c r="B112" s="83" t="s">
        <v>215</v>
      </c>
      <c r="C112" s="99"/>
      <c r="D112" s="99"/>
      <c r="E112" s="99"/>
      <c r="F112" s="99"/>
      <c r="G112" s="99"/>
      <c r="H112" s="26"/>
      <c r="I112" s="26"/>
      <c r="J112" s="26"/>
      <c r="K112" s="26"/>
      <c r="L112" s="26"/>
      <c r="M112" s="26"/>
      <c r="N112" s="26"/>
      <c r="O112" s="26"/>
      <c r="P112" s="26"/>
      <c r="Q112" s="26"/>
      <c r="R112" s="26"/>
      <c r="S112" s="26"/>
      <c r="T112" s="26"/>
      <c r="U112" s="99"/>
      <c r="V112" s="99"/>
      <c r="W112" s="99"/>
    </row>
    <row r="113" spans="1:51" outlineLevel="1" x14ac:dyDescent="0.2">
      <c r="B113" s="96" t="s">
        <v>21</v>
      </c>
      <c r="C113" s="23">
        <v>23.835273742675781</v>
      </c>
      <c r="D113" s="23">
        <v>22.482046127319336</v>
      </c>
      <c r="E113" s="23">
        <v>22.884292602539063</v>
      </c>
      <c r="F113" s="23">
        <v>24.494979858398438</v>
      </c>
      <c r="G113" s="23">
        <v>22.990589141845703</v>
      </c>
      <c r="H113" s="23">
        <v>24.058389663696289</v>
      </c>
      <c r="I113" s="23">
        <v>25.532188415527344</v>
      </c>
      <c r="J113" s="23">
        <v>27.181159973144531</v>
      </c>
      <c r="K113" s="23">
        <v>28.788755416870117</v>
      </c>
      <c r="L113" s="23">
        <v>30.347860336303711</v>
      </c>
      <c r="M113" s="23">
        <v>31.919334411621094</v>
      </c>
      <c r="N113" s="23">
        <v>33.499774932861328</v>
      </c>
      <c r="O113" s="23">
        <v>35.090686798095703</v>
      </c>
      <c r="P113" s="23">
        <v>36.680519104003906</v>
      </c>
      <c r="Q113" s="23">
        <v>38.244941711425781</v>
      </c>
      <c r="R113" s="23">
        <v>39.786037445068359</v>
      </c>
      <c r="S113" s="23">
        <v>41.294654846191406</v>
      </c>
      <c r="T113" s="23">
        <v>42.804645538330078</v>
      </c>
      <c r="U113" s="23">
        <v>44.336193084716797</v>
      </c>
      <c r="V113" s="23">
        <v>45.893882751464844</v>
      </c>
      <c r="W113" s="23">
        <v>47.510593414306641</v>
      </c>
      <c r="X113" s="92"/>
      <c r="Y113" s="47"/>
    </row>
    <row r="114" spans="1:51" x14ac:dyDescent="0.2">
      <c r="B114" s="15" t="s">
        <v>101</v>
      </c>
      <c r="C114" s="1">
        <v>2.2892727851867676</v>
      </c>
      <c r="D114" s="1">
        <v>1.9552502632141113</v>
      </c>
      <c r="E114" s="1">
        <v>2.4150097370147705</v>
      </c>
      <c r="F114" s="1">
        <v>2.7772612571716309</v>
      </c>
      <c r="G114" s="1">
        <v>2.499535083770752</v>
      </c>
      <c r="H114" s="1">
        <v>2.4995558261871338</v>
      </c>
      <c r="I114" s="1">
        <v>2.7926785945892334</v>
      </c>
      <c r="J114" s="1">
        <v>3.0625946521759033</v>
      </c>
      <c r="K114" s="1">
        <v>3.3033304214477539</v>
      </c>
      <c r="L114" s="1">
        <v>3.5144345760345459</v>
      </c>
      <c r="M114" s="1">
        <v>3.7029368877410889</v>
      </c>
      <c r="N114" s="1">
        <v>3.8739409446716309</v>
      </c>
      <c r="O114" s="1">
        <v>4.0312004089355469</v>
      </c>
      <c r="P114" s="1">
        <v>4.1795487403869629</v>
      </c>
      <c r="Q114" s="1">
        <v>4.2934832572937012</v>
      </c>
      <c r="R114" s="1">
        <v>4.3833775520324707</v>
      </c>
      <c r="S114" s="1">
        <v>4.4532461166381836</v>
      </c>
      <c r="T114" s="1">
        <v>4.5062222480773926</v>
      </c>
      <c r="U114" s="1">
        <v>4.5450105667114258</v>
      </c>
      <c r="V114" s="1">
        <v>4.5718879699707031</v>
      </c>
      <c r="W114" s="1">
        <v>4.5885915756225586</v>
      </c>
      <c r="X114" s="93"/>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4"/>
      <c r="AY114" s="45"/>
    </row>
    <row r="115" spans="1:51" x14ac:dyDescent="0.2">
      <c r="B115" s="15" t="s">
        <v>132</v>
      </c>
      <c r="C115" s="1"/>
      <c r="D115" s="1"/>
      <c r="E115" s="1">
        <v>0</v>
      </c>
      <c r="F115" s="1">
        <v>0</v>
      </c>
      <c r="G115" s="1">
        <v>0</v>
      </c>
      <c r="H115" s="1">
        <v>0</v>
      </c>
      <c r="I115" s="1">
        <v>0</v>
      </c>
      <c r="J115" s="1">
        <v>0</v>
      </c>
      <c r="K115" s="1">
        <v>0</v>
      </c>
      <c r="L115" s="1">
        <v>0</v>
      </c>
      <c r="M115" s="1">
        <v>0</v>
      </c>
      <c r="N115" s="1">
        <v>0</v>
      </c>
      <c r="O115" s="1">
        <v>0</v>
      </c>
      <c r="P115" s="1">
        <v>0</v>
      </c>
      <c r="Q115" s="1">
        <v>0</v>
      </c>
      <c r="R115" s="1">
        <v>0</v>
      </c>
      <c r="S115" s="1">
        <v>0</v>
      </c>
      <c r="T115" s="1">
        <v>0</v>
      </c>
      <c r="U115" s="1">
        <v>0</v>
      </c>
      <c r="V115" s="1">
        <v>0</v>
      </c>
      <c r="W115" s="1">
        <v>0</v>
      </c>
      <c r="X115" s="93"/>
      <c r="Y115" s="44"/>
      <c r="Z115" s="44"/>
      <c r="AA115" s="44"/>
      <c r="AB115" s="44"/>
      <c r="AC115" s="44"/>
      <c r="AD115" s="44"/>
      <c r="AE115" s="44"/>
      <c r="AF115" s="44"/>
      <c r="AG115" s="44"/>
      <c r="AH115" s="44"/>
      <c r="AI115" s="44"/>
      <c r="AJ115" s="44"/>
      <c r="AK115" s="44"/>
      <c r="AL115" s="44"/>
      <c r="AM115" s="44"/>
      <c r="AN115" s="44"/>
      <c r="AO115" s="44"/>
      <c r="AP115" s="44"/>
      <c r="AQ115" s="44"/>
      <c r="AR115" s="44"/>
      <c r="AS115" s="44"/>
      <c r="AT115" s="44"/>
      <c r="AU115" s="44"/>
      <c r="AV115" s="44"/>
      <c r="AW115" s="44"/>
      <c r="AX115" s="44"/>
      <c r="AY115" s="45"/>
    </row>
    <row r="116" spans="1:51" x14ac:dyDescent="0.2">
      <c r="C116" s="1"/>
      <c r="D116" s="1"/>
      <c r="E116" s="76"/>
      <c r="F116" s="76"/>
      <c r="G116" s="76"/>
      <c r="H116" s="76"/>
      <c r="I116" s="76"/>
      <c r="J116" s="76"/>
      <c r="K116" s="76"/>
      <c r="L116" s="76"/>
      <c r="M116" s="76"/>
      <c r="N116" s="76"/>
      <c r="O116" s="76"/>
      <c r="P116" s="76"/>
      <c r="Q116" s="76"/>
      <c r="R116" s="76"/>
      <c r="S116" s="76"/>
      <c r="T116" s="76"/>
      <c r="U116" s="80"/>
      <c r="V116" s="80"/>
      <c r="W116" s="80"/>
      <c r="X116" s="93"/>
      <c r="Y116" s="44"/>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4"/>
      <c r="AY116" s="45"/>
    </row>
    <row r="117" spans="1:51" x14ac:dyDescent="0.2">
      <c r="B117" s="83" t="s">
        <v>216</v>
      </c>
      <c r="C117" s="26"/>
      <c r="D117" s="26"/>
      <c r="E117" s="26"/>
      <c r="F117" s="26"/>
      <c r="G117" s="26"/>
      <c r="H117" s="26"/>
      <c r="I117" s="26"/>
      <c r="J117" s="26"/>
      <c r="K117" s="26"/>
      <c r="L117" s="26"/>
      <c r="M117" s="26"/>
      <c r="N117" s="26"/>
      <c r="O117" s="26"/>
      <c r="P117" s="26"/>
      <c r="Q117" s="26"/>
      <c r="R117" s="26"/>
      <c r="S117" s="26"/>
      <c r="T117" s="26"/>
      <c r="U117" s="26"/>
      <c r="V117" s="100"/>
      <c r="W117" s="100"/>
      <c r="X117" s="93"/>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4"/>
      <c r="AY117" s="45"/>
    </row>
    <row r="118" spans="1:51" outlineLevel="1" x14ac:dyDescent="0.2">
      <c r="B118" s="96" t="s">
        <v>21</v>
      </c>
      <c r="C118" s="23">
        <v>23.835273742675781</v>
      </c>
      <c r="D118" s="23">
        <v>22.482046127319336</v>
      </c>
      <c r="E118" s="23">
        <v>22.884292602539063</v>
      </c>
      <c r="F118" s="23">
        <v>24.494979858398438</v>
      </c>
      <c r="G118" s="23">
        <v>22.954128265380859</v>
      </c>
      <c r="H118" s="23">
        <v>23.931312561035156</v>
      </c>
      <c r="I118" s="23">
        <v>25.258771896362305</v>
      </c>
      <c r="J118" s="23">
        <v>26.669956207275391</v>
      </c>
      <c r="K118" s="23">
        <v>28.086881637573242</v>
      </c>
      <c r="L118" s="23">
        <v>29.544029235839844</v>
      </c>
      <c r="M118" s="23">
        <v>31.041017532348633</v>
      </c>
      <c r="N118" s="23">
        <v>32.522651672363281</v>
      </c>
      <c r="O118" s="23">
        <v>34.00689697265625</v>
      </c>
      <c r="P118" s="23">
        <v>35.482418060302734</v>
      </c>
      <c r="Q118" s="23">
        <v>36.936676025390625</v>
      </c>
      <c r="R118" s="23">
        <v>38.366024017333984</v>
      </c>
      <c r="S118" s="23">
        <v>39.761383056640625</v>
      </c>
      <c r="T118" s="23">
        <v>41.155563354492188</v>
      </c>
      <c r="U118" s="23">
        <v>42.568798065185547</v>
      </c>
      <c r="V118" s="23">
        <v>44.005828857421875</v>
      </c>
      <c r="W118" s="23">
        <v>45.499588012695313</v>
      </c>
      <c r="X118" s="92"/>
      <c r="Y118" s="47"/>
    </row>
    <row r="119" spans="1:51" x14ac:dyDescent="0.2">
      <c r="B119" s="15" t="s">
        <v>101</v>
      </c>
      <c r="C119" s="1">
        <v>2.2892727851867676</v>
      </c>
      <c r="D119" s="1">
        <v>1.9552502632141113</v>
      </c>
      <c r="E119" s="1">
        <v>2.4150097370147705</v>
      </c>
      <c r="F119" s="1">
        <v>2.7772612571716309</v>
      </c>
      <c r="G119" s="1">
        <v>2.499535083770752</v>
      </c>
      <c r="H119" s="1">
        <v>2.4995629787445068</v>
      </c>
      <c r="I119" s="1">
        <v>2.7867445945739746</v>
      </c>
      <c r="J119" s="1">
        <v>3.050074577331543</v>
      </c>
      <c r="K119" s="1">
        <v>3.2834479808807373</v>
      </c>
      <c r="L119" s="1">
        <v>3.492347240447998</v>
      </c>
      <c r="M119" s="1">
        <v>3.6812951564788818</v>
      </c>
      <c r="N119" s="1">
        <v>3.8540201187133789</v>
      </c>
      <c r="O119" s="1">
        <v>4.0126419067382813</v>
      </c>
      <c r="P119" s="1">
        <v>4.1620864868164063</v>
      </c>
      <c r="Q119" s="1">
        <v>4.2770709991455078</v>
      </c>
      <c r="R119" s="1">
        <v>4.3681211471557617</v>
      </c>
      <c r="S119" s="1">
        <v>4.4391922950744629</v>
      </c>
      <c r="T119" s="1">
        <v>4.4933714866638184</v>
      </c>
      <c r="U119" s="1">
        <v>4.5333395004272461</v>
      </c>
      <c r="V119" s="1">
        <v>4.5613651275634766</v>
      </c>
      <c r="W119" s="1">
        <v>4.5791745185852051</v>
      </c>
      <c r="X119" s="93"/>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4"/>
      <c r="AY119" s="45"/>
    </row>
    <row r="120" spans="1:51" x14ac:dyDescent="0.2">
      <c r="B120" s="15" t="s">
        <v>132</v>
      </c>
      <c r="C120" s="1"/>
      <c r="D120" s="1"/>
      <c r="E120" s="1"/>
      <c r="F120" s="1"/>
      <c r="G120" s="1">
        <v>0</v>
      </c>
      <c r="H120" s="1">
        <v>0</v>
      </c>
      <c r="I120" s="1">
        <v>0</v>
      </c>
      <c r="J120" s="1">
        <v>0</v>
      </c>
      <c r="K120" s="1">
        <v>0</v>
      </c>
      <c r="L120" s="1">
        <v>0</v>
      </c>
      <c r="M120" s="1">
        <v>0</v>
      </c>
      <c r="N120" s="1">
        <v>0</v>
      </c>
      <c r="O120" s="1">
        <v>0</v>
      </c>
      <c r="P120" s="1">
        <v>0</v>
      </c>
      <c r="Q120" s="1">
        <v>0</v>
      </c>
      <c r="R120" s="1">
        <v>0</v>
      </c>
      <c r="S120" s="1">
        <v>0</v>
      </c>
      <c r="T120" s="1">
        <v>0</v>
      </c>
      <c r="U120" s="1">
        <v>0</v>
      </c>
      <c r="V120" s="1">
        <v>0</v>
      </c>
      <c r="W120" s="1">
        <v>0</v>
      </c>
      <c r="X120" s="93"/>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4"/>
      <c r="AY120" s="45"/>
    </row>
    <row r="121" spans="1:51" x14ac:dyDescent="0.2">
      <c r="T121" s="47"/>
      <c r="U121" s="92"/>
      <c r="V121" s="92"/>
      <c r="W121" s="92"/>
      <c r="X121" s="92"/>
      <c r="Y121" s="47"/>
    </row>
    <row r="122" spans="1:51" x14ac:dyDescent="0.2">
      <c r="H122" s="97"/>
      <c r="I122" s="97"/>
      <c r="J122" s="97"/>
      <c r="K122" s="97"/>
      <c r="L122" s="97"/>
      <c r="M122" s="97"/>
      <c r="N122" s="97"/>
      <c r="O122" s="97"/>
      <c r="P122" s="97"/>
      <c r="Q122" s="97"/>
      <c r="R122" s="97"/>
      <c r="S122" s="97"/>
      <c r="T122" s="97"/>
      <c r="U122" s="97"/>
      <c r="V122" s="97"/>
      <c r="W122" s="97"/>
    </row>
    <row r="123" spans="1:51" x14ac:dyDescent="0.2">
      <c r="E123" s="23"/>
      <c r="F123" s="23"/>
      <c r="G123" s="97"/>
      <c r="H123" s="97"/>
      <c r="I123" s="97"/>
      <c r="J123" s="97"/>
      <c r="K123" s="97"/>
      <c r="L123" s="97"/>
      <c r="M123" s="97"/>
      <c r="N123" s="97"/>
      <c r="O123" s="97"/>
      <c r="P123" s="97"/>
      <c r="Q123" s="97"/>
      <c r="R123" s="97"/>
      <c r="S123" s="97"/>
      <c r="T123" s="97"/>
      <c r="U123" s="97"/>
      <c r="V123" s="97"/>
      <c r="W123" s="97"/>
    </row>
    <row r="124" spans="1:51" x14ac:dyDescent="0.2">
      <c r="A124" s="45"/>
      <c r="C124" s="23"/>
      <c r="D124" s="23"/>
      <c r="E124" s="23"/>
      <c r="F124" s="23"/>
      <c r="G124" s="23"/>
      <c r="H124" s="23"/>
      <c r="I124" s="23"/>
      <c r="J124" s="23"/>
      <c r="K124" s="23"/>
      <c r="L124" s="23"/>
      <c r="M124" s="23"/>
      <c r="N124" s="23"/>
      <c r="O124" s="23"/>
      <c r="P124" s="23"/>
      <c r="Q124" s="23"/>
      <c r="R124" s="23"/>
      <c r="S124" s="23"/>
      <c r="T124" s="23"/>
      <c r="U124" s="23"/>
      <c r="V124" s="23"/>
      <c r="W124" s="23"/>
    </row>
    <row r="125" spans="1:51" x14ac:dyDescent="0.2">
      <c r="C125" s="46"/>
      <c r="D125" s="46"/>
      <c r="E125" s="46"/>
      <c r="F125" s="46"/>
      <c r="G125" s="46"/>
      <c r="H125" s="46"/>
      <c r="I125" s="46"/>
      <c r="J125" s="46"/>
      <c r="K125" s="46"/>
      <c r="L125" s="46"/>
      <c r="M125" s="46"/>
      <c r="N125" s="46"/>
      <c r="O125" s="46"/>
      <c r="P125" s="46"/>
      <c r="Q125" s="46"/>
      <c r="R125" s="46"/>
      <c r="S125" s="46"/>
      <c r="T125" s="46"/>
      <c r="U125" s="46"/>
      <c r="V125" s="46"/>
      <c r="W125" s="46"/>
      <c r="X125" s="46"/>
    </row>
    <row r="127" spans="1:51" x14ac:dyDescent="0.2">
      <c r="E127" s="23"/>
      <c r="F127" s="23"/>
      <c r="G127" s="97"/>
      <c r="H127" s="97"/>
      <c r="I127" s="97"/>
      <c r="J127" s="97"/>
      <c r="K127" s="97"/>
      <c r="L127" s="97"/>
      <c r="M127" s="97"/>
      <c r="N127" s="97"/>
      <c r="O127" s="97"/>
      <c r="P127" s="97"/>
      <c r="Q127" s="97"/>
      <c r="R127" s="97"/>
      <c r="S127" s="97"/>
      <c r="T127" s="97"/>
      <c r="U127" s="97"/>
      <c r="V127" s="97"/>
      <c r="W127" s="97"/>
    </row>
    <row r="128" spans="1:51" x14ac:dyDescent="0.2">
      <c r="E128" s="23"/>
      <c r="F128" s="23"/>
      <c r="G128" s="97"/>
      <c r="H128" s="97"/>
      <c r="I128" s="97"/>
      <c r="J128" s="97"/>
      <c r="K128" s="97"/>
      <c r="L128" s="97"/>
      <c r="M128" s="97"/>
      <c r="N128" s="97"/>
      <c r="O128" s="97"/>
      <c r="P128" s="97"/>
      <c r="Q128" s="97"/>
      <c r="R128" s="97"/>
      <c r="S128" s="97"/>
      <c r="T128" s="97"/>
      <c r="U128" s="97"/>
      <c r="V128" s="97"/>
      <c r="W128" s="97"/>
      <c r="X128" s="38"/>
    </row>
    <row r="129" spans="5:24" x14ac:dyDescent="0.2">
      <c r="G129" s="38"/>
      <c r="H129" s="38"/>
      <c r="I129" s="38"/>
      <c r="J129" s="38"/>
      <c r="K129" s="38"/>
      <c r="L129" s="38"/>
      <c r="M129" s="38"/>
      <c r="N129" s="38"/>
      <c r="O129" s="38"/>
      <c r="P129" s="38"/>
      <c r="Q129" s="38"/>
      <c r="R129" s="38"/>
      <c r="S129" s="38"/>
      <c r="T129" s="38"/>
      <c r="U129" s="38"/>
      <c r="V129" s="38"/>
      <c r="W129" s="38"/>
      <c r="X129" s="38"/>
    </row>
    <row r="130" spans="5:24" x14ac:dyDescent="0.2">
      <c r="E130" s="23"/>
      <c r="F130" s="23"/>
      <c r="G130" s="97"/>
      <c r="H130" s="97"/>
      <c r="I130" s="97"/>
      <c r="J130" s="97"/>
      <c r="K130" s="97"/>
      <c r="L130" s="97"/>
      <c r="M130" s="97"/>
      <c r="N130" s="97"/>
      <c r="O130" s="97"/>
      <c r="P130" s="97"/>
      <c r="Q130" s="97"/>
      <c r="R130" s="97"/>
      <c r="S130" s="97"/>
      <c r="T130" s="97"/>
      <c r="U130" s="97"/>
      <c r="V130" s="97"/>
      <c r="W130" s="97"/>
      <c r="X130" s="38"/>
    </row>
    <row r="131" spans="5:24" x14ac:dyDescent="0.2">
      <c r="E131" s="23"/>
      <c r="F131" s="23"/>
      <c r="G131" s="97"/>
      <c r="H131" s="97"/>
      <c r="I131" s="97"/>
      <c r="J131" s="97"/>
      <c r="K131" s="97"/>
      <c r="L131" s="97"/>
      <c r="M131" s="97"/>
      <c r="N131" s="97"/>
      <c r="O131" s="97"/>
      <c r="P131" s="97"/>
      <c r="Q131" s="97"/>
      <c r="R131" s="97"/>
      <c r="S131" s="97"/>
      <c r="T131" s="97"/>
      <c r="U131" s="97"/>
      <c r="V131" s="97"/>
      <c r="W131" s="97"/>
      <c r="X131" s="38"/>
    </row>
    <row r="132" spans="5:24" x14ac:dyDescent="0.2">
      <c r="G132" s="38"/>
      <c r="H132" s="38"/>
      <c r="I132" s="38"/>
      <c r="J132" s="38"/>
      <c r="K132" s="38"/>
      <c r="L132" s="38"/>
      <c r="M132" s="38"/>
      <c r="N132" s="38"/>
      <c r="O132" s="38"/>
      <c r="P132" s="38"/>
      <c r="Q132" s="38"/>
      <c r="R132" s="38"/>
      <c r="S132" s="38"/>
      <c r="T132" s="38"/>
      <c r="U132" s="38"/>
      <c r="V132" s="38"/>
      <c r="W132" s="38"/>
      <c r="X132" s="38"/>
    </row>
    <row r="133" spans="5:24" x14ac:dyDescent="0.2">
      <c r="E133" s="23"/>
      <c r="F133" s="23"/>
      <c r="G133" s="97"/>
      <c r="H133" s="97"/>
      <c r="I133" s="97"/>
      <c r="J133" s="97"/>
      <c r="K133" s="97"/>
      <c r="L133" s="97"/>
      <c r="M133" s="97"/>
      <c r="N133" s="97"/>
      <c r="O133" s="97"/>
      <c r="P133" s="97"/>
      <c r="Q133" s="97"/>
      <c r="R133" s="97"/>
      <c r="S133" s="97"/>
      <c r="T133" s="97"/>
      <c r="U133" s="97"/>
      <c r="V133" s="97"/>
      <c r="W133" s="97"/>
      <c r="X133" s="97"/>
    </row>
    <row r="134" spans="5:24" x14ac:dyDescent="0.2">
      <c r="E134" s="23"/>
      <c r="F134" s="23"/>
      <c r="G134" s="97"/>
      <c r="H134" s="97"/>
      <c r="I134" s="97"/>
      <c r="J134" s="97"/>
      <c r="K134" s="97"/>
      <c r="L134" s="97"/>
      <c r="M134" s="97"/>
      <c r="N134" s="97"/>
      <c r="O134" s="97"/>
      <c r="P134" s="97"/>
      <c r="Q134" s="97"/>
      <c r="R134" s="97"/>
      <c r="S134" s="97"/>
      <c r="T134" s="97"/>
      <c r="U134" s="97"/>
      <c r="V134" s="97"/>
      <c r="W134" s="97"/>
      <c r="X134" s="97"/>
    </row>
    <row r="135" spans="5:24" x14ac:dyDescent="0.2">
      <c r="G135" s="97"/>
      <c r="H135" s="97"/>
      <c r="I135" s="97"/>
      <c r="J135" s="97"/>
      <c r="K135" s="97"/>
      <c r="L135" s="97"/>
      <c r="M135" s="97"/>
      <c r="N135" s="97"/>
      <c r="O135" s="97"/>
      <c r="P135" s="97"/>
      <c r="Q135" s="97"/>
      <c r="R135" s="97"/>
      <c r="S135" s="97"/>
      <c r="T135" s="97"/>
      <c r="U135" s="97"/>
      <c r="V135" s="97"/>
      <c r="W135" s="97"/>
      <c r="X135" s="97"/>
    </row>
    <row r="136" spans="5:24" x14ac:dyDescent="0.2">
      <c r="E136" s="23"/>
      <c r="F136" s="23"/>
      <c r="G136" s="97"/>
      <c r="H136" s="97"/>
      <c r="I136" s="97"/>
      <c r="J136" s="97"/>
      <c r="K136" s="97"/>
      <c r="L136" s="97"/>
      <c r="M136" s="97"/>
      <c r="N136" s="97"/>
      <c r="O136" s="97"/>
      <c r="P136" s="97"/>
      <c r="Q136" s="97"/>
      <c r="R136" s="97"/>
      <c r="S136" s="97"/>
      <c r="T136" s="97"/>
      <c r="U136" s="97"/>
      <c r="V136" s="97"/>
      <c r="W136" s="97"/>
      <c r="X136" s="97"/>
    </row>
    <row r="137" spans="5:24" x14ac:dyDescent="0.2">
      <c r="E137" s="23"/>
      <c r="F137" s="23"/>
      <c r="G137" s="97"/>
      <c r="H137" s="97"/>
      <c r="I137" s="97"/>
      <c r="J137" s="97"/>
      <c r="K137" s="97"/>
      <c r="L137" s="97"/>
      <c r="M137" s="97"/>
      <c r="N137" s="97"/>
      <c r="O137" s="97"/>
      <c r="P137" s="97"/>
      <c r="Q137" s="97"/>
      <c r="R137" s="97"/>
      <c r="S137" s="97"/>
      <c r="T137" s="97"/>
      <c r="U137" s="97"/>
      <c r="V137" s="97"/>
      <c r="W137" s="97"/>
      <c r="X137" s="97"/>
    </row>
    <row r="138" spans="5:24" x14ac:dyDescent="0.2">
      <c r="G138" s="97"/>
      <c r="H138" s="97"/>
      <c r="I138" s="97"/>
      <c r="J138" s="97"/>
      <c r="K138" s="97"/>
      <c r="L138" s="97"/>
      <c r="M138" s="97"/>
      <c r="N138" s="97"/>
      <c r="O138" s="97"/>
      <c r="P138" s="97"/>
      <c r="Q138" s="97"/>
      <c r="R138" s="97"/>
      <c r="S138" s="97"/>
      <c r="T138" s="97"/>
      <c r="U138" s="97"/>
      <c r="V138" s="97"/>
      <c r="W138" s="97"/>
      <c r="X138" s="97"/>
    </row>
    <row r="139" spans="5:24" x14ac:dyDescent="0.2">
      <c r="G139" s="97"/>
      <c r="H139" s="97"/>
      <c r="I139" s="97"/>
      <c r="J139" s="97"/>
      <c r="K139" s="97"/>
      <c r="L139" s="97"/>
      <c r="M139" s="97"/>
      <c r="N139" s="97"/>
      <c r="O139" s="97"/>
      <c r="P139" s="97"/>
      <c r="Q139" s="97"/>
      <c r="R139" s="97"/>
      <c r="S139" s="97"/>
      <c r="T139" s="97"/>
      <c r="U139" s="97"/>
      <c r="V139" s="97"/>
      <c r="W139" s="97"/>
      <c r="X139" s="97"/>
    </row>
  </sheetData>
  <conditionalFormatting sqref="G12:M12">
    <cfRule type="expression" dxfId="6" priority="6">
      <formula>AND(G10&gt;$C$5,G10&lt;=$C$6)</formula>
    </cfRule>
  </conditionalFormatting>
  <conditionalFormatting sqref="U10:W44 U46:W53 U55:W84 U86:W109 U111:W130">
    <cfRule type="expression" dxfId="5" priority="2">
      <formula>U$10&gt;$C$7</formula>
    </cfRule>
  </conditionalFormatting>
  <conditionalFormatting sqref="U79:W79">
    <cfRule type="expression" dxfId="4" priority="1">
      <formula>U$10&gt;$C$7</formula>
    </cfRule>
  </conditionalFormatting>
  <pageMargins left="0.7" right="0.7" top="0.75" bottom="0.75" header="0.3" footer="0.3"/>
  <pageSetup paperSize="9" orientation="portrait" r:id="rId1"/>
  <ignoredErrors>
    <ignoredError sqref="C47:C48 C5"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FD891-C40B-4DD5-A43C-645C26D0DC6D}">
  <sheetPr codeName="Sheet22">
    <tabColor rgb="FF7030A0"/>
  </sheetPr>
  <dimension ref="A1:Y63"/>
  <sheetViews>
    <sheetView zoomScale="90" zoomScaleNormal="90" workbookViewId="0">
      <selection activeCell="F22" sqref="F22:X36"/>
    </sheetView>
  </sheetViews>
  <sheetFormatPr defaultRowHeight="12.75" x14ac:dyDescent="0.2"/>
  <cols>
    <col min="1" max="1" width="9.140625" style="276"/>
    <col min="2" max="2" width="4.5703125" style="276" customWidth="1"/>
    <col min="3" max="3" width="67" style="276" customWidth="1"/>
    <col min="4" max="4" width="16.5703125" style="276" customWidth="1"/>
    <col min="5" max="5" width="13.7109375" style="276" customWidth="1"/>
    <col min="6" max="24" width="10.7109375" style="276" customWidth="1"/>
    <col min="25" max="16384" width="9.140625" style="276"/>
  </cols>
  <sheetData>
    <row r="1" spans="1:25" x14ac:dyDescent="0.2">
      <c r="A1" s="191"/>
      <c r="B1" s="191"/>
      <c r="C1" s="191"/>
      <c r="D1" s="191"/>
      <c r="E1" s="191"/>
      <c r="F1" s="191"/>
      <c r="G1" s="191"/>
      <c r="H1" s="191"/>
      <c r="I1" s="191"/>
      <c r="J1" s="191"/>
      <c r="K1" s="191"/>
      <c r="L1" s="191"/>
      <c r="M1" s="191"/>
      <c r="N1" s="191"/>
      <c r="O1" s="191"/>
      <c r="P1" s="191"/>
      <c r="Q1" s="191"/>
      <c r="R1" s="191"/>
      <c r="S1" s="191"/>
      <c r="T1" s="191"/>
      <c r="U1" s="191"/>
      <c r="V1" s="191"/>
      <c r="W1" s="191"/>
      <c r="X1" s="191"/>
      <c r="Y1" s="191"/>
    </row>
    <row r="2" spans="1:25" x14ac:dyDescent="0.2">
      <c r="A2" s="191"/>
      <c r="B2" s="281"/>
      <c r="C2" s="282" t="s">
        <v>145</v>
      </c>
      <c r="D2" s="283"/>
      <c r="E2" s="283"/>
      <c r="F2" s="283"/>
      <c r="G2" s="299"/>
      <c r="H2" s="299"/>
      <c r="I2" s="299"/>
      <c r="J2" s="299"/>
      <c r="K2" s="191"/>
      <c r="L2" s="191"/>
      <c r="M2" s="191"/>
      <c r="N2" s="191"/>
      <c r="O2" s="191"/>
      <c r="P2" s="191"/>
      <c r="Q2" s="191"/>
      <c r="R2" s="191"/>
      <c r="S2" s="191"/>
      <c r="T2" s="191"/>
      <c r="U2" s="191"/>
      <c r="V2" s="191"/>
      <c r="W2" s="191"/>
      <c r="X2" s="191"/>
      <c r="Y2" s="191"/>
    </row>
    <row r="3" spans="1:25" x14ac:dyDescent="0.2">
      <c r="A3" s="191"/>
      <c r="B3" s="278"/>
      <c r="C3" s="299"/>
      <c r="D3" s="299"/>
      <c r="E3" s="299"/>
      <c r="F3" s="299"/>
      <c r="G3" s="299"/>
      <c r="H3" s="299"/>
      <c r="I3" s="299"/>
      <c r="J3" s="299"/>
      <c r="K3" s="191"/>
      <c r="L3" s="191"/>
      <c r="M3" s="191"/>
      <c r="N3" s="191"/>
      <c r="O3" s="191"/>
      <c r="P3" s="191"/>
      <c r="Q3" s="191"/>
      <c r="R3" s="191"/>
      <c r="S3" s="191"/>
      <c r="T3" s="191"/>
      <c r="U3" s="191"/>
      <c r="V3" s="191"/>
      <c r="W3" s="191"/>
      <c r="X3" s="191"/>
      <c r="Y3" s="191"/>
    </row>
    <row r="4" spans="1:25" x14ac:dyDescent="0.2">
      <c r="A4" s="191"/>
      <c r="B4" s="284"/>
      <c r="C4" s="282"/>
      <c r="D4" s="285" t="s">
        <v>166</v>
      </c>
      <c r="E4" s="286">
        <f>F4-1</f>
        <v>2022</v>
      </c>
      <c r="F4" s="287">
        <f>'Input data'!$C$5-1</f>
        <v>2023</v>
      </c>
      <c r="G4" s="287">
        <f>F4+1</f>
        <v>2024</v>
      </c>
      <c r="H4" s="287">
        <f t="shared" ref="H4:X4" si="0">G4+1</f>
        <v>2025</v>
      </c>
      <c r="I4" s="287">
        <f t="shared" si="0"/>
        <v>2026</v>
      </c>
      <c r="J4" s="287">
        <f t="shared" si="0"/>
        <v>2027</v>
      </c>
      <c r="K4" s="287">
        <f t="shared" si="0"/>
        <v>2028</v>
      </c>
      <c r="L4" s="287">
        <f t="shared" si="0"/>
        <v>2029</v>
      </c>
      <c r="M4" s="287">
        <f t="shared" si="0"/>
        <v>2030</v>
      </c>
      <c r="N4" s="287">
        <f t="shared" si="0"/>
        <v>2031</v>
      </c>
      <c r="O4" s="287">
        <f t="shared" si="0"/>
        <v>2032</v>
      </c>
      <c r="P4" s="287">
        <f t="shared" si="0"/>
        <v>2033</v>
      </c>
      <c r="Q4" s="287">
        <f t="shared" si="0"/>
        <v>2034</v>
      </c>
      <c r="R4" s="287">
        <f t="shared" si="0"/>
        <v>2035</v>
      </c>
      <c r="S4" s="287">
        <f t="shared" si="0"/>
        <v>2036</v>
      </c>
      <c r="T4" s="287">
        <f t="shared" si="0"/>
        <v>2037</v>
      </c>
      <c r="U4" s="287">
        <f t="shared" si="0"/>
        <v>2038</v>
      </c>
      <c r="V4" s="287">
        <f t="shared" si="0"/>
        <v>2039</v>
      </c>
      <c r="W4" s="287">
        <f t="shared" si="0"/>
        <v>2040</v>
      </c>
      <c r="X4" s="287">
        <f t="shared" si="0"/>
        <v>2041</v>
      </c>
      <c r="Y4" s="191"/>
    </row>
    <row r="5" spans="1:25" x14ac:dyDescent="0.2">
      <c r="A5" s="191"/>
      <c r="B5" s="284">
        <v>1</v>
      </c>
      <c r="C5" s="288" t="s">
        <v>146</v>
      </c>
      <c r="D5" s="289">
        <v>57</v>
      </c>
      <c r="E5" s="290" t="s">
        <v>147</v>
      </c>
      <c r="F5" s="277">
        <f ca="1">INDEX(OFFSET('Adjustment scenario'!$D$1:$W$1,$D5-1,0),MATCH(F$4,'Adjustment scenario'!$D$10:$W$10,0))</f>
        <v>22.884294685123706</v>
      </c>
      <c r="G5" s="277">
        <f ca="1">INDEX(OFFSET('Adjustment scenario'!$D$1:$W$1,$D5-1,0),MATCH(G$4,'Adjustment scenario'!$D$10:$W$10,0))</f>
        <v>24.494983925203403</v>
      </c>
      <c r="H5" s="277">
        <f ca="1">INDEX(OFFSET('Adjustment scenario'!$D$1:$W$1,$D5-1,0),MATCH(H$4,'Adjustment scenario'!$D$10:$W$10,0))</f>
        <v>22.747717675958448</v>
      </c>
      <c r="I5" s="277">
        <f ca="1">INDEX(OFFSET('Adjustment scenario'!$D$1:$W$1,$D5-1,0),MATCH(I$4,'Adjustment scenario'!$D$10:$W$10,0))</f>
        <v>23.210824755394132</v>
      </c>
      <c r="J5" s="277">
        <f ca="1">INDEX(OFFSET('Adjustment scenario'!$D$1:$W$1,$D5-1,0),MATCH(J$4,'Adjustment scenario'!$D$10:$W$10,0))</f>
        <v>23.707527700089191</v>
      </c>
      <c r="K5" s="277">
        <f ca="1">INDEX(OFFSET('Adjustment scenario'!$D$1:$W$1,$D5-1,0),MATCH(K$4,'Adjustment scenario'!$D$10:$W$10,0))</f>
        <v>24.193634570990582</v>
      </c>
      <c r="L5" s="277">
        <f ca="1">INDEX(OFFSET('Adjustment scenario'!$D$1:$W$1,$D5-1,0),MATCH(L$4,'Adjustment scenario'!$D$10:$W$10,0))</f>
        <v>24.565835304154714</v>
      </c>
      <c r="M5" s="277">
        <f ca="1">INDEX(OFFSET('Adjustment scenario'!$D$1:$W$1,$D5-1,0),MATCH(M$4,'Adjustment scenario'!$D$10:$W$10,0))</f>
        <v>24.914868984061592</v>
      </c>
      <c r="N5" s="277">
        <f ca="1">INDEX(OFFSET('Adjustment scenario'!$D$1:$W$1,$D5-1,0),MATCH(N$4,'Adjustment scenario'!$D$10:$W$10,0))</f>
        <v>25.245044876904739</v>
      </c>
      <c r="O5" s="277">
        <f ca="1">INDEX(OFFSET('Adjustment scenario'!$D$1:$W$1,$D5-1,0),MATCH(O$4,'Adjustment scenario'!$D$10:$W$10,0))</f>
        <v>25.582018083434001</v>
      </c>
      <c r="P5" s="277">
        <f ca="1">INDEX(OFFSET('Adjustment scenario'!$D$1:$W$1,$D5-1,0),MATCH(P$4,'Adjustment scenario'!$D$10:$W$10,0))</f>
        <v>25.905980964820646</v>
      </c>
      <c r="Q5" s="277">
        <f ca="1">INDEX(OFFSET('Adjustment scenario'!$D$1:$W$1,$D5-1,0),MATCH(Q$4,'Adjustment scenario'!$D$10:$W$10,0))</f>
        <v>26.205284160174809</v>
      </c>
      <c r="R5" s="277">
        <f ca="1">INDEX(OFFSET('Adjustment scenario'!$D$1:$W$1,$D5-1,0),MATCH(R$4,'Adjustment scenario'!$D$10:$W$10,0))</f>
        <v>26.461844323635308</v>
      </c>
      <c r="S5" s="277">
        <f ca="1">INDEX(OFFSET('Adjustment scenario'!$D$1:$W$1,$D5-1,0),MATCH(S$4,'Adjustment scenario'!$D$10:$W$10,0))</f>
        <v>26.678360226129069</v>
      </c>
      <c r="T5" s="277">
        <f ca="1">INDEX(OFFSET('Adjustment scenario'!$D$1:$W$1,$D5-1,0),MATCH(T$4,'Adjustment scenario'!$D$10:$W$10,0))</f>
        <v>26.846340786194009</v>
      </c>
      <c r="U5" s="277">
        <f ca="1">INDEX(OFFSET('Adjustment scenario'!$D$1:$W$1,$D5-1,0),MATCH(U$4,'Adjustment scenario'!$D$10:$W$10,0))</f>
        <v>26.989702630169408</v>
      </c>
      <c r="V5" s="277">
        <f ca="1">INDEX(OFFSET('Adjustment scenario'!$D$1:$W$1,$D5-1,0),MATCH(V$4,'Adjustment scenario'!$D$10:$W$10,0))</f>
        <v>27.128704615658933</v>
      </c>
      <c r="W5" s="277">
        <f ca="1">INDEX(OFFSET('Adjustment scenario'!$D$1:$W$1,$D5-1,0),MATCH(W$4,'Adjustment scenario'!$D$10:$W$10,0))</f>
        <v>27.269039068920513</v>
      </c>
      <c r="X5" s="277">
        <f ca="1">INDEX(OFFSET('Adjustment scenario'!$D$1:$W$1,$D5-1,0),MATCH(X$4,'Adjustment scenario'!$D$10:$W$10,0))</f>
        <v>27.443892200613394</v>
      </c>
      <c r="Y5" s="191"/>
    </row>
    <row r="6" spans="1:25" x14ac:dyDescent="0.2">
      <c r="A6" s="191"/>
      <c r="B6" s="284">
        <v>2</v>
      </c>
      <c r="C6" s="288" t="s">
        <v>148</v>
      </c>
      <c r="D6" s="289">
        <v>77</v>
      </c>
      <c r="E6" s="290" t="s">
        <v>147</v>
      </c>
      <c r="F6" s="277">
        <f ca="1">INDEX(OFFSET('Adjustment scenario'!$D$1:$W$1,$D6-1,0),MATCH(F$4,'Adjustment scenario'!$D$10:$W$10,0))</f>
        <v>-2.0024050348224529</v>
      </c>
      <c r="G6" s="277">
        <f ca="1">INDEX(OFFSET('Adjustment scenario'!$D$1:$W$1,$D6-1,0),MATCH(G$4,'Adjustment scenario'!$D$10:$W$10,0))</f>
        <v>-2.6315401809889596</v>
      </c>
      <c r="H6" s="277">
        <f ca="1">INDEX(OFFSET('Adjustment scenario'!$D$1:$W$1,$D6-1,0),MATCH(H$4,'Adjustment scenario'!$D$10:$W$10,0))</f>
        <v>-2.3301732614375656</v>
      </c>
      <c r="I6" s="277">
        <f ca="1">INDEX(OFFSET('Adjustment scenario'!$D$1:$W$1,$D6-1,0),MATCH(I$4,'Adjustment scenario'!$D$10:$W$10,0))</f>
        <v>-1.8077095529512786</v>
      </c>
      <c r="J6" s="277">
        <f ca="1">INDEX(OFFSET('Adjustment scenario'!$D$1:$W$1,$D6-1,0),MATCH(J$4,'Adjustment scenario'!$D$10:$W$10,0))</f>
        <v>-1.5724392325512957</v>
      </c>
      <c r="K6" s="277">
        <f ca="1">INDEX(OFFSET('Adjustment scenario'!$D$1:$W$1,$D6-1,0),MATCH(K$4,'Adjustment scenario'!$D$10:$W$10,0))</f>
        <v>-1.5952011081696935</v>
      </c>
      <c r="L6" s="277">
        <f ca="1">INDEX(OFFSET('Adjustment scenario'!$D$1:$W$1,$D6-1,0),MATCH(L$4,'Adjustment scenario'!$D$10:$W$10,0))</f>
        <v>-1.4906351625907508</v>
      </c>
      <c r="M6" s="277">
        <f ca="1">INDEX(OFFSET('Adjustment scenario'!$D$1:$W$1,$D6-1,0),MATCH(M$4,'Adjustment scenario'!$D$10:$W$10,0))</f>
        <v>-1.4395385528694444</v>
      </c>
      <c r="N6" s="277">
        <f ca="1">INDEX(OFFSET('Adjustment scenario'!$D$1:$W$1,$D6-1,0),MATCH(N$4,'Adjustment scenario'!$D$10:$W$10,0))</f>
        <v>-1.3918204376578114</v>
      </c>
      <c r="O6" s="277">
        <f ca="1">INDEX(OFFSET('Adjustment scenario'!$D$1:$W$1,$D6-1,0),MATCH(O$4,'Adjustment scenario'!$D$10:$W$10,0))</f>
        <v>-1.3636203096060782</v>
      </c>
      <c r="P6" s="277">
        <f ca="1">INDEX(OFFSET('Adjustment scenario'!$D$1:$W$1,$D6-1,0),MATCH(P$4,'Adjustment scenario'!$D$10:$W$10,0))</f>
        <v>-1.3263763961043802</v>
      </c>
      <c r="Q6" s="277">
        <f ca="1">INDEX(OFFSET('Adjustment scenario'!$D$1:$W$1,$D6-1,0),MATCH(Q$4,'Adjustment scenario'!$D$10:$W$10,0))</f>
        <v>-1.2942332187835719</v>
      </c>
      <c r="R6" s="277">
        <f ca="1">INDEX(OFFSET('Adjustment scenario'!$D$1:$W$1,$D6-1,0),MATCH(R$4,'Adjustment scenario'!$D$10:$W$10,0))</f>
        <v>-1.2573816342114323</v>
      </c>
      <c r="S6" s="277">
        <f ca="1">INDEX(OFFSET('Adjustment scenario'!$D$1:$W$1,$D6-1,0),MATCH(S$4,'Adjustment scenario'!$D$10:$W$10,0))</f>
        <v>-1.2214722099655662</v>
      </c>
      <c r="T6" s="277">
        <f ca="1">INDEX(OFFSET('Adjustment scenario'!$D$1:$W$1,$D6-1,0),MATCH(T$4,'Adjustment scenario'!$D$10:$W$10,0))</f>
        <v>-1.1754518749436191</v>
      </c>
      <c r="U6" s="277">
        <f ca="1">INDEX(OFFSET('Adjustment scenario'!$D$1:$W$1,$D6-1,0),MATCH(U$4,'Adjustment scenario'!$D$10:$W$10,0))</f>
        <v>-1.1326841750735357</v>
      </c>
      <c r="V6" s="277">
        <f ca="1">INDEX(OFFSET('Adjustment scenario'!$D$1:$W$1,$D6-1,0),MATCH(V$4,'Adjustment scenario'!$D$10:$W$10,0))</f>
        <v>-1.1114525323898148</v>
      </c>
      <c r="W6" s="277">
        <f ca="1">INDEX(OFFSET('Adjustment scenario'!$D$1:$W$1,$D6-1,0),MATCH(W$4,'Adjustment scenario'!$D$10:$W$10,0))</f>
        <v>-1.0989876190665404</v>
      </c>
      <c r="X6" s="277">
        <f ca="1">INDEX(OFFSET('Adjustment scenario'!$D$1:$W$1,$D6-1,0),MATCH(X$4,'Adjustment scenario'!$D$10:$W$10,0))</f>
        <v>-1.1212402795620009</v>
      </c>
      <c r="Y6" s="191"/>
    </row>
    <row r="7" spans="1:25" x14ac:dyDescent="0.2">
      <c r="A7" s="191"/>
      <c r="B7" s="284">
        <v>3</v>
      </c>
      <c r="C7" s="288" t="s">
        <v>18</v>
      </c>
      <c r="D7" s="289">
        <v>12</v>
      </c>
      <c r="E7" s="290" t="s">
        <v>149</v>
      </c>
      <c r="F7" s="277">
        <f ca="1">INDEX(OFFSET('Adjustment scenario'!$D$1:$W$1,$D7-1,0),MATCH(F$4,'Adjustment scenario'!$D$10:$W$10,0))</f>
        <v>-1.7785709999999999</v>
      </c>
      <c r="G7" s="277">
        <f ca="1">INDEX(OFFSET('Adjustment scenario'!$D$1:$W$1,$D7-1,0),MATCH(G$4,'Adjustment scenario'!$D$10:$W$10,0))</f>
        <v>-2.0899299999999998</v>
      </c>
      <c r="H7" s="277">
        <f ca="1">INDEX(OFFSET('Adjustment scenario'!$D$1:$W$1,$D7-1,0),MATCH(H$4,'Adjustment scenario'!$D$10:$W$10,0))</f>
        <v>-1.6899299999999999</v>
      </c>
      <c r="I7" s="277">
        <f ca="1">INDEX(OFFSET('Adjustment scenario'!$D$1:$W$1,$D7-1,0),MATCH(I$4,'Adjustment scenario'!$D$10:$W$10,0))</f>
        <v>-1.28993</v>
      </c>
      <c r="J7" s="277">
        <f ca="1">INDEX(OFFSET('Adjustment scenario'!$D$1:$W$1,$D7-1,0),MATCH(J$4,'Adjustment scenario'!$D$10:$W$10,0))</f>
        <v>-0.88993</v>
      </c>
      <c r="K7" s="277">
        <f ca="1">INDEX(OFFSET('Adjustment scenario'!$D$1:$W$1,$D7-1,0),MATCH(K$4,'Adjustment scenario'!$D$10:$W$10,0))</f>
        <v>-0.86992999999999998</v>
      </c>
      <c r="L7" s="277">
        <f ca="1">INDEX(OFFSET('Adjustment scenario'!$D$1:$W$1,$D7-1,0),MATCH(L$4,'Adjustment scenario'!$D$10:$W$10,0))</f>
        <v>-0.86992999999999998</v>
      </c>
      <c r="M7" s="277">
        <f ca="1">INDEX(OFFSET('Adjustment scenario'!$D$1:$W$1,$D7-1,0),MATCH(M$4,'Adjustment scenario'!$D$10:$W$10,0))</f>
        <v>-0.86992999999999998</v>
      </c>
      <c r="N7" s="277">
        <f ca="1">INDEX(OFFSET('Adjustment scenario'!$D$1:$W$1,$D7-1,0),MATCH(N$4,'Adjustment scenario'!$D$10:$W$10,0))</f>
        <v>-0.86992999999999998</v>
      </c>
      <c r="O7" s="277">
        <f ca="1">INDEX(OFFSET('Adjustment scenario'!$D$1:$W$1,$D7-1,0),MATCH(O$4,'Adjustment scenario'!$D$10:$W$10,0))</f>
        <v>-0.86992999999999998</v>
      </c>
      <c r="P7" s="277">
        <f ca="1">INDEX(OFFSET('Adjustment scenario'!$D$1:$W$1,$D7-1,0),MATCH(P$4,'Adjustment scenario'!$D$10:$W$10,0))</f>
        <v>-0.86992999999999998</v>
      </c>
      <c r="Q7" s="277">
        <f ca="1">INDEX(OFFSET('Adjustment scenario'!$D$1:$W$1,$D7-1,0),MATCH(Q$4,'Adjustment scenario'!$D$10:$W$10,0))</f>
        <v>-0.86992999999999998</v>
      </c>
      <c r="R7" s="277">
        <f ca="1">INDEX(OFFSET('Adjustment scenario'!$D$1:$W$1,$D7-1,0),MATCH(R$4,'Adjustment scenario'!$D$10:$W$10,0))</f>
        <v>-0.86992999999999998</v>
      </c>
      <c r="S7" s="277">
        <f ca="1">INDEX(OFFSET('Adjustment scenario'!$D$1:$W$1,$D7-1,0),MATCH(S$4,'Adjustment scenario'!$D$10:$W$10,0))</f>
        <v>-0.86992999999999998</v>
      </c>
      <c r="T7" s="277">
        <f ca="1">INDEX(OFFSET('Adjustment scenario'!$D$1:$W$1,$D7-1,0),MATCH(T$4,'Adjustment scenario'!$D$10:$W$10,0))</f>
        <v>-0.86992999999999998</v>
      </c>
      <c r="U7" s="277">
        <f ca="1">INDEX(OFFSET('Adjustment scenario'!$D$1:$W$1,$D7-1,0),MATCH(U$4,'Adjustment scenario'!$D$10:$W$10,0))</f>
        <v>-0.86992999999999998</v>
      </c>
      <c r="V7" s="277">
        <f ca="1">INDEX(OFFSET('Adjustment scenario'!$D$1:$W$1,$D7-1,0),MATCH(V$4,'Adjustment scenario'!$D$10:$W$10,0))</f>
        <v>-0.86992999999999998</v>
      </c>
      <c r="W7" s="277">
        <f ca="1">INDEX(OFFSET('Adjustment scenario'!$D$1:$W$1,$D7-1,0),MATCH(W$4,'Adjustment scenario'!$D$10:$W$10,0))</f>
        <v>-0.86992999999999998</v>
      </c>
      <c r="X7" s="277">
        <f ca="1">INDEX(OFFSET('Adjustment scenario'!$D$1:$W$1,$D7-1,0),MATCH(X$4,'Adjustment scenario'!$D$10:$W$10,0))</f>
        <v>-0.86992999999999998</v>
      </c>
      <c r="Y7" s="191"/>
    </row>
    <row r="8" spans="1:25" x14ac:dyDescent="0.2">
      <c r="A8" s="191"/>
      <c r="B8" s="284">
        <v>4</v>
      </c>
      <c r="C8" s="288" t="s">
        <v>150</v>
      </c>
      <c r="D8" s="289">
        <v>62</v>
      </c>
      <c r="E8" s="290" t="s">
        <v>149</v>
      </c>
      <c r="F8" s="277">
        <f ca="1">INDEX(OFFSET('Adjustment scenario'!$D$1:$W$1,$D8-1,0),MATCH(F$4,'Adjustment scenario'!$D$10:$W$10,0))</f>
        <v>-0.26965387290526494</v>
      </c>
      <c r="G8" s="277">
        <f ca="1">INDEX(OFFSET('Adjustment scenario'!$D$1:$W$1,$D8-1,0),MATCH(G$4,'Adjustment scenario'!$D$10:$W$10,0))</f>
        <v>-5.0657359920302E-2</v>
      </c>
      <c r="H8" s="277">
        <f ca="1">INDEX(OFFSET('Adjustment scenario'!$D$1:$W$1,$D8-1,0),MATCH(H$4,'Adjustment scenario'!$D$10:$W$10,0))</f>
        <v>5.5923507129030069E-2</v>
      </c>
      <c r="I8" s="277">
        <f ca="1">INDEX(OFFSET('Adjustment scenario'!$D$1:$W$1,$D8-1,0),MATCH(I$4,'Adjustment scenario'!$D$10:$W$10,0))</f>
        <v>-2.0960739318231791E-2</v>
      </c>
      <c r="J8" s="277">
        <f ca="1">INDEX(OFFSET('Adjustment scenario'!$D$1:$W$1,$D8-1,0),MATCH(J$4,'Adjustment scenario'!$D$10:$W$10,0))</f>
        <v>7.3379193195667811E-2</v>
      </c>
      <c r="K8" s="277">
        <f ca="1">INDEX(OFFSET('Adjustment scenario'!$D$1:$W$1,$D8-1,0),MATCH(K$4,'Adjustment scenario'!$D$10:$W$10,0))</f>
        <v>5.3285868486514551E-2</v>
      </c>
      <c r="L8" s="277">
        <f ca="1">INDEX(OFFSET('Adjustment scenario'!$D$1:$W$1,$D8-1,0),MATCH(L$4,'Adjustment scenario'!$D$10:$W$10,0))</f>
        <v>3.5523912324341933E-2</v>
      </c>
      <c r="M8" s="277">
        <f ca="1">INDEX(OFFSET('Adjustment scenario'!$D$1:$W$1,$D8-1,0),MATCH(M$4,'Adjustment scenario'!$D$10:$W$10,0))</f>
        <v>1.7761956162172621E-2</v>
      </c>
      <c r="N8" s="277">
        <f ca="1">INDEX(OFFSET('Adjustment scenario'!$D$1:$W$1,$D8-1,0),MATCH(N$4,'Adjustment scenario'!$D$10:$W$10,0))</f>
        <v>0</v>
      </c>
      <c r="O8" s="277">
        <f ca="1">INDEX(OFFSET('Adjustment scenario'!$D$1:$W$1,$D8-1,0),MATCH(O$4,'Adjustment scenario'!$D$10:$W$10,0))</f>
        <v>2.9289489171802076E-7</v>
      </c>
      <c r="P8" s="277">
        <f ca="1">INDEX(OFFSET('Adjustment scenario'!$D$1:$W$1,$D8-1,0),MATCH(P$4,'Adjustment scenario'!$D$10:$W$10,0))</f>
        <v>-2.9350444323839043E-7</v>
      </c>
      <c r="Q8" s="277">
        <f ca="1">INDEX(OFFSET('Adjustment scenario'!$D$1:$W$1,$D8-1,0),MATCH(Q$4,'Adjustment scenario'!$D$10:$W$10,0))</f>
        <v>2.9307400868372467E-7</v>
      </c>
      <c r="R8" s="277">
        <f ca="1">INDEX(OFFSET('Adjustment scenario'!$D$1:$W$1,$D8-1,0),MATCH(R$4,'Adjustment scenario'!$D$10:$W$10,0))</f>
        <v>-5.8683888433108671E-7</v>
      </c>
      <c r="S8" s="277">
        <f ca="1">INDEX(OFFSET('Adjustment scenario'!$D$1:$W$1,$D8-1,0),MATCH(S$4,'Adjustment scenario'!$D$10:$W$10,0))</f>
        <v>8.7975803040318814E-7</v>
      </c>
      <c r="T8" s="277">
        <f ca="1">INDEX(OFFSET('Adjustment scenario'!$D$1:$W$1,$D8-1,0),MATCH(T$4,'Adjustment scenario'!$D$10:$W$10,0))</f>
        <v>-2.9357975712684946E-7</v>
      </c>
      <c r="U8" s="277">
        <f ca="1">INDEX(OFFSET('Adjustment scenario'!$D$1:$W$1,$D8-1,0),MATCH(U$4,'Adjustment scenario'!$D$10:$W$10,0))</f>
        <v>-2.9357976374377868E-7</v>
      </c>
      <c r="V8" s="277">
        <f ca="1">INDEX(OFFSET('Adjustment scenario'!$D$1:$W$1,$D8-1,0),MATCH(V$4,'Adjustment scenario'!$D$10:$W$10,0))</f>
        <v>-8.8110428766441371E-7</v>
      </c>
      <c r="W8" s="277">
        <f ca="1">INDEX(OFFSET('Adjustment scenario'!$D$1:$W$1,$D8-1,0),MATCH(W$4,'Adjustment scenario'!$D$10:$W$10,0))</f>
        <v>-1.4689507119580725E-6</v>
      </c>
      <c r="X8" s="277">
        <f ca="1">INDEX(OFFSET('Adjustment scenario'!$D$1:$W$1,$D8-1,0),MATCH(X$4,'Adjustment scenario'!$D$10:$W$10,0))</f>
        <v>-2.6452121003384121E-6</v>
      </c>
      <c r="Y8" s="191"/>
    </row>
    <row r="9" spans="1:25" x14ac:dyDescent="0.2">
      <c r="A9" s="191"/>
      <c r="B9" s="284">
        <v>5</v>
      </c>
      <c r="C9" s="288" t="s">
        <v>151</v>
      </c>
      <c r="D9" s="289">
        <v>14</v>
      </c>
      <c r="E9" s="290" t="s">
        <v>147</v>
      </c>
      <c r="F9" s="277">
        <f ca="1">INDEX(OFFSET('Adjustment scenario'!$D$1:$W$1,$D9-1,0),MATCH(F$4,'Adjustment scenario'!$D$10:$W$10,0))</f>
        <v>0</v>
      </c>
      <c r="G9" s="277">
        <f ca="1">INDEX(OFFSET('Adjustment scenario'!$D$1:$W$1,$D9-1,0),MATCH(G$4,'Adjustment scenario'!$D$10:$W$10,0))</f>
        <v>0</v>
      </c>
      <c r="H9" s="277">
        <f ca="1">INDEX(OFFSET('Adjustment scenario'!$D$1:$W$1,$D9-1,0),MATCH(H$4,'Adjustment scenario'!$D$10:$W$10,0))</f>
        <v>0</v>
      </c>
      <c r="I9" s="277">
        <f ca="1">INDEX(OFFSET('Adjustment scenario'!$D$1:$W$1,$D9-1,0),MATCH(I$4,'Adjustment scenario'!$D$10:$W$10,0))</f>
        <v>0</v>
      </c>
      <c r="J9" s="277">
        <f ca="1">INDEX(OFFSET('Adjustment scenario'!$D$1:$W$1,$D9-1,0),MATCH(J$4,'Adjustment scenario'!$D$10:$W$10,0))</f>
        <v>0</v>
      </c>
      <c r="K9" s="277">
        <f ca="1">INDEX(OFFSET('Adjustment scenario'!$D$1:$W$1,$D9-1,0),MATCH(K$4,'Adjustment scenario'!$D$10:$W$10,0))</f>
        <v>0</v>
      </c>
      <c r="L9" s="277">
        <f ca="1">INDEX(OFFSET('Adjustment scenario'!$D$1:$W$1,$D9-1,0),MATCH(L$4,'Adjustment scenario'!$D$10:$W$10,0))</f>
        <v>0</v>
      </c>
      <c r="M9" s="277">
        <f ca="1">INDEX(OFFSET('Adjustment scenario'!$D$1:$W$1,$D9-1,0),MATCH(M$4,'Adjustment scenario'!$D$10:$W$10,0))</f>
        <v>0</v>
      </c>
      <c r="N9" s="277">
        <f ca="1">INDEX(OFFSET('Adjustment scenario'!$D$1:$W$1,$D9-1,0),MATCH(N$4,'Adjustment scenario'!$D$10:$W$10,0))</f>
        <v>0</v>
      </c>
      <c r="O9" s="277">
        <f ca="1">INDEX(OFFSET('Adjustment scenario'!$D$1:$W$1,$D9-1,0),MATCH(O$4,'Adjustment scenario'!$D$10:$W$10,0))</f>
        <v>0</v>
      </c>
      <c r="P9" s="277">
        <f ca="1">INDEX(OFFSET('Adjustment scenario'!$D$1:$W$1,$D9-1,0),MATCH(P$4,'Adjustment scenario'!$D$10:$W$10,0))</f>
        <v>0</v>
      </c>
      <c r="Q9" s="277">
        <f ca="1">INDEX(OFFSET('Adjustment scenario'!$D$1:$W$1,$D9-1,0),MATCH(Q$4,'Adjustment scenario'!$D$10:$W$10,0))</f>
        <v>0</v>
      </c>
      <c r="R9" s="277">
        <f ca="1">INDEX(OFFSET('Adjustment scenario'!$D$1:$W$1,$D9-1,0),MATCH(R$4,'Adjustment scenario'!$D$10:$W$10,0))</f>
        <v>0</v>
      </c>
      <c r="S9" s="277">
        <f ca="1">INDEX(OFFSET('Adjustment scenario'!$D$1:$W$1,$D9-1,0),MATCH(S$4,'Adjustment scenario'!$D$10:$W$10,0))</f>
        <v>0</v>
      </c>
      <c r="T9" s="277">
        <f ca="1">INDEX(OFFSET('Adjustment scenario'!$D$1:$W$1,$D9-1,0),MATCH(T$4,'Adjustment scenario'!$D$10:$W$10,0))</f>
        <v>0</v>
      </c>
      <c r="U9" s="277">
        <f ca="1">INDEX(OFFSET('Adjustment scenario'!$D$1:$W$1,$D9-1,0),MATCH(U$4,'Adjustment scenario'!$D$10:$W$10,0))</f>
        <v>0</v>
      </c>
      <c r="V9" s="277">
        <f ca="1">INDEX(OFFSET('Adjustment scenario'!$D$1:$W$1,$D9-1,0),MATCH(V$4,'Adjustment scenario'!$D$10:$W$10,0))</f>
        <v>0</v>
      </c>
      <c r="W9" s="277">
        <f ca="1">INDEX(OFFSET('Adjustment scenario'!$D$1:$W$1,$D9-1,0),MATCH(W$4,'Adjustment scenario'!$D$10:$W$10,0))</f>
        <v>0</v>
      </c>
      <c r="X9" s="277">
        <f ca="1">INDEX(OFFSET('Adjustment scenario'!$D$1:$W$1,$D9-1,0),MATCH(X$4,'Adjustment scenario'!$D$10:$W$10,0))</f>
        <v>0</v>
      </c>
      <c r="Y9" s="191"/>
    </row>
    <row r="10" spans="1:25" x14ac:dyDescent="0.2">
      <c r="A10" s="191"/>
      <c r="B10" s="284">
        <v>6</v>
      </c>
      <c r="C10" s="288" t="s">
        <v>152</v>
      </c>
      <c r="D10" s="289">
        <v>68</v>
      </c>
      <c r="E10" s="290" t="s">
        <v>147</v>
      </c>
      <c r="F10" s="277">
        <f ca="1">INDEX(OFFSET('Adjustment scenario'!$D$1:$W$1,$D10-1,0),MATCH(F$4,'Adjustment scenario'!$D$10:$W$10,0))</f>
        <v>0.49348790772771806</v>
      </c>
      <c r="G10" s="277">
        <f ca="1">INDEX(OFFSET('Adjustment scenario'!$D$1:$W$1,$D10-1,0),MATCH(G$4,'Adjustment scenario'!$D$10:$W$10,0))</f>
        <v>0.59226754090926192</v>
      </c>
      <c r="H10" s="277">
        <f ca="1">INDEX(OFFSET('Adjustment scenario'!$D$1:$W$1,$D10-1,0),MATCH(H$4,'Adjustment scenario'!$D$10:$W$10,0))</f>
        <v>0.58431975430853578</v>
      </c>
      <c r="I10" s="277">
        <f ca="1">INDEX(OFFSET('Adjustment scenario'!$D$1:$W$1,$D10-1,0),MATCH(I$4,'Adjustment scenario'!$D$10:$W$10,0))</f>
        <v>0.53874029226951037</v>
      </c>
      <c r="J10" s="277">
        <f ca="1">INDEX(OFFSET('Adjustment scenario'!$D$1:$W$1,$D10-1,0),MATCH(J$4,'Adjustment scenario'!$D$10:$W$10,0))</f>
        <v>0.60913003935562782</v>
      </c>
      <c r="K10" s="277">
        <f ca="1">INDEX(OFFSET('Adjustment scenario'!$D$1:$W$1,$D10-1,0),MATCH(K$4,'Adjustment scenario'!$D$10:$W$10,0))</f>
        <v>0.67198523968317891</v>
      </c>
      <c r="L10" s="277">
        <f ca="1">INDEX(OFFSET('Adjustment scenario'!$D$1:$W$1,$D10-1,0),MATCH(L$4,'Adjustment scenario'!$D$10:$W$10,0))</f>
        <v>0.7331472502664087</v>
      </c>
      <c r="M10" s="277">
        <f ca="1">INDEX(OFFSET('Adjustment scenario'!$D$1:$W$1,$D10-1,0),MATCH(M$4,'Adjustment scenario'!$D$10:$W$10,0))</f>
        <v>0.78854859670727184</v>
      </c>
      <c r="N10" s="277">
        <f ca="1">INDEX(OFFSET('Adjustment scenario'!$D$1:$W$1,$D10-1,0),MATCH(N$4,'Adjustment scenario'!$D$10:$W$10,0))</f>
        <v>0.84104943765780793</v>
      </c>
      <c r="O10" s="277">
        <f ca="1">INDEX(OFFSET('Adjustment scenario'!$D$1:$W$1,$D10-1,0),MATCH(O$4,'Adjustment scenario'!$D$10:$W$10,0))</f>
        <v>0.89136501671118296</v>
      </c>
      <c r="P10" s="277">
        <f ca="1">INDEX(OFFSET('Adjustment scenario'!$D$1:$W$1,$D10-1,0),MATCH(P$4,'Adjustment scenario'!$D$10:$W$10,0))</f>
        <v>0.94032768960882329</v>
      </c>
      <c r="Q10" s="277">
        <f ca="1">INDEX(OFFSET('Adjustment scenario'!$D$1:$W$1,$D10-1,0),MATCH(Q$4,'Adjustment scenario'!$D$10:$W$10,0))</f>
        <v>0.98703992570956101</v>
      </c>
      <c r="R10" s="277">
        <f ca="1">INDEX(OFFSET('Adjustment scenario'!$D$1:$W$1,$D10-1,0),MATCH(R$4,'Adjustment scenario'!$D$10:$W$10,0))</f>
        <v>1.0267962210503159</v>
      </c>
      <c r="S10" s="277">
        <f ca="1">INDEX(OFFSET('Adjustment scenario'!$D$1:$W$1,$D10-1,0),MATCH(S$4,'Adjustment scenario'!$D$10:$W$10,0))</f>
        <v>1.060691330207534</v>
      </c>
      <c r="T10" s="277">
        <f ca="1">INDEX(OFFSET('Adjustment scenario'!$D$1:$W$1,$D10-1,0),MATCH(T$4,'Adjustment scenario'!$D$10:$W$10,0))</f>
        <v>1.0892381685233747</v>
      </c>
      <c r="U10" s="277">
        <f ca="1">INDEX(OFFSET('Adjustment scenario'!$D$1:$W$1,$D10-1,0),MATCH(U$4,'Adjustment scenario'!$D$10:$W$10,0))</f>
        <v>1.1131964686532967</v>
      </c>
      <c r="V10" s="277">
        <f ca="1">INDEX(OFFSET('Adjustment scenario'!$D$1:$W$1,$D10-1,0),MATCH(V$4,'Adjustment scenario'!$D$10:$W$10,0))</f>
        <v>1.1330324134940999</v>
      </c>
      <c r="W10" s="277">
        <f ca="1">INDEX(OFFSET('Adjustment scenario'!$D$1:$W$1,$D10-1,0),MATCH(W$4,'Adjustment scenario'!$D$10:$W$10,0))</f>
        <v>1.1499540880172483</v>
      </c>
      <c r="X10" s="277">
        <f ca="1">INDEX(OFFSET('Adjustment scenario'!$D$1:$W$1,$D10-1,0),MATCH(X$4,'Adjustment scenario'!$D$10:$W$10,0))</f>
        <v>1.1645639247741009</v>
      </c>
      <c r="Y10" s="191"/>
    </row>
    <row r="11" spans="1:25" x14ac:dyDescent="0.2">
      <c r="A11" s="191"/>
      <c r="B11" s="284">
        <v>7</v>
      </c>
      <c r="C11" s="291" t="s">
        <v>63</v>
      </c>
      <c r="D11" s="289">
        <v>37</v>
      </c>
      <c r="E11" s="290" t="s">
        <v>153</v>
      </c>
      <c r="F11" s="277">
        <f ca="1">INDEX(OFFSET('Adjustment scenario'!$D$1:$W$1,$D11-1,0),MATCH(F$4,'Adjustment scenario'!$D$10:$W$10,0))</f>
        <v>3.75</v>
      </c>
      <c r="G11" s="277">
        <f ca="1">INDEX(OFFSET('Adjustment scenario'!$D$1:$W$1,$D11-1,0),MATCH(G$4,'Adjustment scenario'!$D$10:$W$10,0))</f>
        <v>3.9555020000000001</v>
      </c>
      <c r="H11" s="277">
        <f ca="1">INDEX(OFFSET('Adjustment scenario'!$D$1:$W$1,$D11-1,0),MATCH(H$4,'Adjustment scenario'!$D$10:$W$10,0))</f>
        <v>4.0576990000000004</v>
      </c>
      <c r="I11" s="277">
        <f ca="1">INDEX(OFFSET('Adjustment scenario'!$D$1:$W$1,$D11-1,0),MATCH(I$4,'Adjustment scenario'!$D$10:$W$10,0))</f>
        <v>4.1636879999999996</v>
      </c>
      <c r="J11" s="277">
        <f ca="1">INDEX(OFFSET('Adjustment scenario'!$D$1:$W$1,$D11-1,0),MATCH(J$4,'Adjustment scenario'!$D$10:$W$10,0))</f>
        <v>4.2805169999999997</v>
      </c>
      <c r="K11" s="277">
        <f ca="1">INDEX(OFFSET('Adjustment scenario'!$D$1:$W$1,$D11-1,0),MATCH(K$4,'Adjustment scenario'!$D$10:$W$10,0))</f>
        <v>4.3973459999999998</v>
      </c>
      <c r="L11" s="277">
        <f ca="1">INDEX(OFFSET('Adjustment scenario'!$D$1:$W$1,$D11-1,0),MATCH(L$4,'Adjustment scenario'!$D$10:$W$10,0))</f>
        <v>4.5141749999999998</v>
      </c>
      <c r="M11" s="277">
        <f ca="1">INDEX(OFFSET('Adjustment scenario'!$D$1:$W$1,$D11-1,0),MATCH(M$4,'Adjustment scenario'!$D$10:$W$10,0))</f>
        <v>4.6310039999999999</v>
      </c>
      <c r="N11" s="277">
        <f ca="1">INDEX(OFFSET('Adjustment scenario'!$D$1:$W$1,$D11-1,0),MATCH(N$4,'Adjustment scenario'!$D$10:$W$10,0))</f>
        <v>4.747833</v>
      </c>
      <c r="O11" s="277">
        <f ca="1">INDEX(OFFSET('Adjustment scenario'!$D$1:$W$1,$D11-1,0),MATCH(O$4,'Adjustment scenario'!$D$10:$W$10,0))</f>
        <v>4.864662</v>
      </c>
      <c r="P11" s="277">
        <f ca="1">INDEX(OFFSET('Adjustment scenario'!$D$1:$W$1,$D11-1,0),MATCH(P$4,'Adjustment scenario'!$D$10:$W$10,0))</f>
        <v>4.9814910000000001</v>
      </c>
      <c r="Q11" s="277">
        <f ca="1">INDEX(OFFSET('Adjustment scenario'!$D$1:$W$1,$D11-1,0),MATCH(Q$4,'Adjustment scenario'!$D$10:$W$10,0))</f>
        <v>5.0983200000000002</v>
      </c>
      <c r="R11" s="277">
        <f ca="1">INDEX(OFFSET('Adjustment scenario'!$D$1:$W$1,$D11-1,0),MATCH(R$4,'Adjustment scenario'!$D$10:$W$10,0))</f>
        <v>5.0434039999999998</v>
      </c>
      <c r="S11" s="277">
        <f ca="1">INDEX(OFFSET('Adjustment scenario'!$D$1:$W$1,$D11-1,0),MATCH(S$4,'Adjustment scenario'!$D$10:$W$10,0))</f>
        <v>4.9884880000000003</v>
      </c>
      <c r="T11" s="277">
        <f ca="1">INDEX(OFFSET('Adjustment scenario'!$D$1:$W$1,$D11-1,0),MATCH(T$4,'Adjustment scenario'!$D$10:$W$10,0))</f>
        <v>4.9335719999999998</v>
      </c>
      <c r="U11" s="277">
        <f ca="1">INDEX(OFFSET('Adjustment scenario'!$D$1:$W$1,$D11-1,0),MATCH(U$4,'Adjustment scenario'!$D$10:$W$10,0))</f>
        <v>4.8786560000000003</v>
      </c>
      <c r="V11" s="277">
        <f ca="1">INDEX(OFFSET('Adjustment scenario'!$D$1:$W$1,$D11-1,0),MATCH(V$4,'Adjustment scenario'!$D$10:$W$10,0))</f>
        <v>4.8237399999999999</v>
      </c>
      <c r="W11" s="277">
        <f ca="1">INDEX(OFFSET('Adjustment scenario'!$D$1:$W$1,$D11-1,0),MATCH(W$4,'Adjustment scenario'!$D$10:$W$10,0))</f>
        <v>4.7688240000000004</v>
      </c>
      <c r="X11" s="277">
        <f ca="1">INDEX(OFFSET('Adjustment scenario'!$D$1:$W$1,$D11-1,0),MATCH(X$4,'Adjustment scenario'!$D$10:$W$10,0))</f>
        <v>4.713908</v>
      </c>
      <c r="Y11" s="191"/>
    </row>
    <row r="12" spans="1:25" x14ac:dyDescent="0.2">
      <c r="A12" s="191"/>
      <c r="B12" s="284">
        <v>8</v>
      </c>
      <c r="C12" s="291" t="s">
        <v>64</v>
      </c>
      <c r="D12" s="289">
        <v>38</v>
      </c>
      <c r="E12" s="290" t="s">
        <v>153</v>
      </c>
      <c r="F12" s="277">
        <f ca="1">INDEX(OFFSET('Adjustment scenario'!$D$1:$W$1,$D12-1,0),MATCH(F$4,'Adjustment scenario'!$D$10:$W$10,0))</f>
        <v>2.7915420000000002</v>
      </c>
      <c r="G12" s="277">
        <f ca="1">INDEX(OFFSET('Adjustment scenario'!$D$1:$W$1,$D12-1,0),MATCH(G$4,'Adjustment scenario'!$D$10:$W$10,0))</f>
        <v>2.8907919999999998</v>
      </c>
      <c r="H12" s="277">
        <f ca="1">INDEX(OFFSET('Adjustment scenario'!$D$1:$W$1,$D12-1,0),MATCH(H$4,'Adjustment scenario'!$D$10:$W$10,0))</f>
        <v>1.427792</v>
      </c>
      <c r="I12" s="277">
        <f ca="1">INDEX(OFFSET('Adjustment scenario'!$D$1:$W$1,$D12-1,0),MATCH(I$4,'Adjustment scenario'!$D$10:$W$10,0))</f>
        <v>1.3572919999999999</v>
      </c>
      <c r="J12" s="277">
        <f ca="1">INDEX(OFFSET('Adjustment scenario'!$D$1:$W$1,$D12-1,0),MATCH(J$4,'Adjustment scenario'!$D$10:$W$10,0))</f>
        <v>1.5327305</v>
      </c>
      <c r="K12" s="277">
        <f ca="1">INDEX(OFFSET('Adjustment scenario'!$D$1:$W$1,$D12-1,0),MATCH(K$4,'Adjustment scenario'!$D$10:$W$10,0))</f>
        <v>1.708169</v>
      </c>
      <c r="L12" s="277">
        <f ca="1">INDEX(OFFSET('Adjustment scenario'!$D$1:$W$1,$D12-1,0),MATCH(L$4,'Adjustment scenario'!$D$10:$W$10,0))</f>
        <v>1.8836075000000001</v>
      </c>
      <c r="M12" s="277">
        <f ca="1">INDEX(OFFSET('Adjustment scenario'!$D$1:$W$1,$D12-1,0),MATCH(M$4,'Adjustment scenario'!$D$10:$W$10,0))</f>
        <v>2.0590459999999999</v>
      </c>
      <c r="N12" s="277">
        <f ca="1">INDEX(OFFSET('Adjustment scenario'!$D$1:$W$1,$D12-1,0),MATCH(N$4,'Adjustment scenario'!$D$10:$W$10,0))</f>
        <v>2.2344844999999998</v>
      </c>
      <c r="O12" s="277">
        <f ca="1">INDEX(OFFSET('Adjustment scenario'!$D$1:$W$1,$D12-1,0),MATCH(O$4,'Adjustment scenario'!$D$10:$W$10,0))</f>
        <v>2.4099229999999996</v>
      </c>
      <c r="P12" s="277">
        <f ca="1">INDEX(OFFSET('Adjustment scenario'!$D$1:$W$1,$D12-1,0),MATCH(P$4,'Adjustment scenario'!$D$10:$W$10,0))</f>
        <v>2.5853614999999994</v>
      </c>
      <c r="Q12" s="277">
        <f ca="1">INDEX(OFFSET('Adjustment scenario'!$D$1:$W$1,$D12-1,0),MATCH(Q$4,'Adjustment scenario'!$D$10:$W$10,0))</f>
        <v>2.7608000000000001</v>
      </c>
      <c r="R12" s="277">
        <f ca="1">INDEX(OFFSET('Adjustment scenario'!$D$1:$W$1,$D12-1,0),MATCH(R$4,'Adjustment scenario'!$D$10:$W$10,0))</f>
        <v>2.7227600000000001</v>
      </c>
      <c r="S12" s="277">
        <f ca="1">INDEX(OFFSET('Adjustment scenario'!$D$1:$W$1,$D12-1,0),MATCH(S$4,'Adjustment scenario'!$D$10:$W$10,0))</f>
        <v>2.68472</v>
      </c>
      <c r="T12" s="277">
        <f ca="1">INDEX(OFFSET('Adjustment scenario'!$D$1:$W$1,$D12-1,0),MATCH(T$4,'Adjustment scenario'!$D$10:$W$10,0))</f>
        <v>2.6466799999999999</v>
      </c>
      <c r="U12" s="277">
        <f ca="1">INDEX(OFFSET('Adjustment scenario'!$D$1:$W$1,$D12-1,0),MATCH(U$4,'Adjustment scenario'!$D$10:$W$10,0))</f>
        <v>2.6086400000000003</v>
      </c>
      <c r="V12" s="277">
        <f ca="1">INDEX(OFFSET('Adjustment scenario'!$D$1:$W$1,$D12-1,0),MATCH(V$4,'Adjustment scenario'!$D$10:$W$10,0))</f>
        <v>2.5706000000000002</v>
      </c>
      <c r="W12" s="277">
        <f ca="1">INDEX(OFFSET('Adjustment scenario'!$D$1:$W$1,$D12-1,0),MATCH(W$4,'Adjustment scenario'!$D$10:$W$10,0))</f>
        <v>2.5325600000000001</v>
      </c>
      <c r="X12" s="277">
        <f ca="1">INDEX(OFFSET('Adjustment scenario'!$D$1:$W$1,$D12-1,0),MATCH(X$4,'Adjustment scenario'!$D$10:$W$10,0))</f>
        <v>2.4945200000000001</v>
      </c>
      <c r="Y12" s="191"/>
    </row>
    <row r="13" spans="1:25" x14ac:dyDescent="0.2">
      <c r="A13" s="191"/>
      <c r="B13" s="284">
        <v>9</v>
      </c>
      <c r="C13" s="288" t="s">
        <v>154</v>
      </c>
      <c r="D13" s="289">
        <v>36</v>
      </c>
      <c r="E13" s="290" t="s">
        <v>153</v>
      </c>
      <c r="F13" s="277">
        <f ca="1">INDEX(OFFSET('Adjustment scenario'!$D$1:$W$1,$D13-1,0),MATCH(F$4,'Adjustment scenario'!$D$10:$W$10,0))</f>
        <v>2.4150100000000001</v>
      </c>
      <c r="G13" s="277">
        <f ca="1">INDEX(OFFSET('Adjustment scenario'!$D$1:$W$1,$D13-1,0),MATCH(G$4,'Adjustment scenario'!$D$10:$W$10,0))</f>
        <v>2.7772610000000002</v>
      </c>
      <c r="H13" s="277">
        <f ca="1">INDEX(OFFSET('Adjustment scenario'!$D$1:$W$1,$D13-1,0),MATCH(H$4,'Adjustment scenario'!$D$10:$W$10,0))</f>
        <v>2.4995349999999998</v>
      </c>
      <c r="I13" s="277">
        <f ca="1">INDEX(OFFSET('Adjustment scenario'!$D$1:$W$1,$D13-1,0),MATCH(I$4,'Adjustment scenario'!$D$10:$W$10,0))</f>
        <v>2.499600820862121</v>
      </c>
      <c r="J13" s="277">
        <f ca="1">INDEX(OFFSET('Adjustment scenario'!$D$1:$W$1,$D13-1,0),MATCH(J$4,'Adjustment scenario'!$D$10:$W$10,0))</f>
        <v>2.7518753324566312</v>
      </c>
      <c r="K13" s="277">
        <f ca="1">INDEX(OFFSET('Adjustment scenario'!$D$1:$W$1,$D13-1,0),MATCH(K$4,'Adjustment scenario'!$D$10:$W$10,0))</f>
        <v>2.9735921332278807</v>
      </c>
      <c r="L13" s="277">
        <f ca="1">INDEX(OFFSET('Adjustment scenario'!$D$1:$W$1,$D13-1,0),MATCH(L$4,'Adjustment scenario'!$D$10:$W$10,0))</f>
        <v>3.1772086299084141</v>
      </c>
      <c r="M13" s="277">
        <f ca="1">INDEX(OFFSET('Adjustment scenario'!$D$1:$W$1,$D13-1,0),MATCH(M$4,'Adjustment scenario'!$D$10:$W$10,0))</f>
        <v>3.3590521718898212</v>
      </c>
      <c r="N13" s="277">
        <f ca="1">INDEX(OFFSET('Adjustment scenario'!$D$1:$W$1,$D13-1,0),MATCH(N$4,'Adjustment scenario'!$D$10:$W$10,0))</f>
        <v>3.5259360418962324</v>
      </c>
      <c r="O13" s="277">
        <f ca="1">INDEX(OFFSET('Adjustment scenario'!$D$1:$W$1,$D13-1,0),MATCH(O$4,'Adjustment scenario'!$D$10:$W$10,0))</f>
        <v>3.6805284355947525</v>
      </c>
      <c r="P13" s="277">
        <f ca="1">INDEX(OFFSET('Adjustment scenario'!$D$1:$W$1,$D13-1,0),MATCH(P$4,'Adjustment scenario'!$D$10:$W$10,0))</f>
        <v>3.8256420561200848</v>
      </c>
      <c r="Q13" s="277">
        <f ca="1">INDEX(OFFSET('Adjustment scenario'!$D$1:$W$1,$D13-1,0),MATCH(Q$4,'Adjustment scenario'!$D$10:$W$10,0))</f>
        <v>3.9622572649856935</v>
      </c>
      <c r="R13" s="277">
        <f ca="1">INDEX(OFFSET('Adjustment scenario'!$D$1:$W$1,$D13-1,0),MATCH(R$4,'Adjustment scenario'!$D$10:$W$10,0))</f>
        <v>4.0738667342477139</v>
      </c>
      <c r="S13" s="277">
        <f ca="1">INDEX(OFFSET('Adjustment scenario'!$D$1:$W$1,$D13-1,0),MATCH(S$4,'Adjustment scenario'!$D$10:$W$10,0))</f>
        <v>4.1666182038199748</v>
      </c>
      <c r="T13" s="277">
        <f ca="1">INDEX(OFFSET('Adjustment scenario'!$D$1:$W$1,$D13-1,0),MATCH(T$4,'Adjustment scenario'!$D$10:$W$10,0))</f>
        <v>4.2430870714648714</v>
      </c>
      <c r="U13" s="277">
        <f ca="1">INDEX(OFFSET('Adjustment scenario'!$D$1:$W$1,$D13-1,0),MATCH(U$4,'Adjustment scenario'!$D$10:$W$10,0))</f>
        <v>4.3052004258979411</v>
      </c>
      <c r="V13" s="277">
        <f ca="1">INDEX(OFFSET('Adjustment scenario'!$D$1:$W$1,$D13-1,0),MATCH(V$4,'Adjustment scenario'!$D$10:$W$10,0))</f>
        <v>4.3549272992696935</v>
      </c>
      <c r="W13" s="277">
        <f ca="1">INDEX(OFFSET('Adjustment scenario'!$D$1:$W$1,$D13-1,0),MATCH(W$4,'Adjustment scenario'!$D$10:$W$10,0))</f>
        <v>4.394160593152618</v>
      </c>
      <c r="X13" s="277">
        <f ca="1">INDEX(OFFSET('Adjustment scenario'!$D$1:$W$1,$D13-1,0),MATCH(X$4,'Adjustment scenario'!$D$10:$W$10,0))</f>
        <v>4.4241892050502223</v>
      </c>
      <c r="Y13" s="191"/>
    </row>
    <row r="14" spans="1:25" x14ac:dyDescent="0.2">
      <c r="A14" s="191"/>
      <c r="B14" s="284">
        <v>10</v>
      </c>
      <c r="C14" s="288" t="s">
        <v>155</v>
      </c>
      <c r="D14" s="289">
        <v>72</v>
      </c>
      <c r="E14" s="290" t="s">
        <v>147</v>
      </c>
      <c r="F14" s="277">
        <f ca="1">INDEX(OFFSET('Adjustment scenario'!$D$1:$W$1,$D14-1,0),MATCH(F$4,'Adjustment scenario'!$D$10:$W$10,0))</f>
        <v>0.4477447</v>
      </c>
      <c r="G14" s="277">
        <f ca="1">INDEX(OFFSET('Adjustment scenario'!$D$1:$W$1,$D14-1,0),MATCH(G$4,'Adjustment scenario'!$D$10:$W$10,0))</f>
        <v>0.53785850000000002</v>
      </c>
      <c r="H14" s="277">
        <f ca="1">INDEX(OFFSET('Adjustment scenario'!$D$1:$W$1,$D14-1,0),MATCH(H$4,'Adjustment scenario'!$D$10:$W$10,0))</f>
        <v>-2.9595989999999999</v>
      </c>
      <c r="I14" s="277">
        <f ca="1">INDEX(OFFSET('Adjustment scenario'!$D$1:$W$1,$D14-1,0),MATCH(I$4,'Adjustment scenario'!$D$10:$W$10,0))</f>
        <v>-0.14993790000000001</v>
      </c>
      <c r="J14" s="277">
        <f ca="1">INDEX(OFFSET('Adjustment scenario'!$D$1:$W$1,$D14-1,0),MATCH(J$4,'Adjustment scenario'!$D$10:$W$10,0))</f>
        <v>0</v>
      </c>
      <c r="K14" s="277">
        <f ca="1">INDEX(OFFSET('Adjustment scenario'!$D$1:$W$1,$D14-1,0),MATCH(K$4,'Adjustment scenario'!$D$10:$W$10,0))</f>
        <v>0</v>
      </c>
      <c r="L14" s="277">
        <f ca="1">INDEX(OFFSET('Adjustment scenario'!$D$1:$W$1,$D14-1,0),MATCH(L$4,'Adjustment scenario'!$D$10:$W$10,0))</f>
        <v>0</v>
      </c>
      <c r="M14" s="277">
        <f ca="1">INDEX(OFFSET('Adjustment scenario'!$D$1:$W$1,$D14-1,0),MATCH(M$4,'Adjustment scenario'!$D$10:$W$10,0))</f>
        <v>0</v>
      </c>
      <c r="N14" s="277">
        <f ca="1">INDEX(OFFSET('Adjustment scenario'!$D$1:$W$1,$D14-1,0),MATCH(N$4,'Adjustment scenario'!$D$10:$W$10,0))</f>
        <v>0</v>
      </c>
      <c r="O14" s="277">
        <f ca="1">INDEX(OFFSET('Adjustment scenario'!$D$1:$W$1,$D14-1,0),MATCH(O$4,'Adjustment scenario'!$D$10:$W$10,0))</f>
        <v>0</v>
      </c>
      <c r="P14" s="277">
        <f ca="1">INDEX(OFFSET('Adjustment scenario'!$D$1:$W$1,$D14-1,0),MATCH(P$4,'Adjustment scenario'!$D$10:$W$10,0))</f>
        <v>0</v>
      </c>
      <c r="Q14" s="277">
        <f ca="1">INDEX(OFFSET('Adjustment scenario'!$D$1:$W$1,$D14-1,0),MATCH(Q$4,'Adjustment scenario'!$D$10:$W$10,0))</f>
        <v>0</v>
      </c>
      <c r="R14" s="277">
        <f ca="1">INDEX(OFFSET('Adjustment scenario'!$D$1:$W$1,$D14-1,0),MATCH(R$4,'Adjustment scenario'!$D$10:$W$10,0))</f>
        <v>0</v>
      </c>
      <c r="S14" s="277">
        <f ca="1">INDEX(OFFSET('Adjustment scenario'!$D$1:$W$1,$D14-1,0),MATCH(S$4,'Adjustment scenario'!$D$10:$W$10,0))</f>
        <v>0</v>
      </c>
      <c r="T14" s="277">
        <f ca="1">INDEX(OFFSET('Adjustment scenario'!$D$1:$W$1,$D14-1,0),MATCH(T$4,'Adjustment scenario'!$D$10:$W$10,0))</f>
        <v>0</v>
      </c>
      <c r="U14" s="277">
        <f ca="1">INDEX(OFFSET('Adjustment scenario'!$D$1:$W$1,$D14-1,0),MATCH(U$4,'Adjustment scenario'!$D$10:$W$10,0))</f>
        <v>0</v>
      </c>
      <c r="V14" s="277">
        <f ca="1">INDEX(OFFSET('Adjustment scenario'!$D$1:$W$1,$D14-1,0),MATCH(V$4,'Adjustment scenario'!$D$10:$W$10,0))</f>
        <v>0</v>
      </c>
      <c r="W14" s="277">
        <f ca="1">INDEX(OFFSET('Adjustment scenario'!$D$1:$W$1,$D14-1,0),MATCH(W$4,'Adjustment scenario'!$D$10:$W$10,0))</f>
        <v>0</v>
      </c>
      <c r="X14" s="277">
        <f ca="1">INDEX(OFFSET('Adjustment scenario'!$D$1:$W$1,$D14-1,0),MATCH(X$4,'Adjustment scenario'!$D$10:$W$10,0))</f>
        <v>0</v>
      </c>
      <c r="Y14" s="191"/>
    </row>
    <row r="15" spans="1:25" x14ac:dyDescent="0.2">
      <c r="A15" s="191"/>
      <c r="B15" s="284">
        <v>11</v>
      </c>
      <c r="C15" s="292" t="s">
        <v>40</v>
      </c>
      <c r="D15" s="289">
        <v>27</v>
      </c>
      <c r="E15" s="290" t="s">
        <v>156</v>
      </c>
      <c r="F15" s="277">
        <f ca="1">(INDEX(OFFSET('Adjustment scenario'!$D$1:$W$1,$D15-1,0),MATCH(F$4,'Adjustment scenario'!$D$10:$W$10,0))/INDEX(OFFSET('Adjustment scenario'!$D$1:$W$1,$D15-1,0),MATCH(E$4,'Adjustment scenario'!$D$10:$W$10,0))-1)*100</f>
        <v>2.7298700000000009</v>
      </c>
      <c r="G15" s="277">
        <f ca="1">(INDEX(OFFSET('Adjustment scenario'!$D$1:$W$1,$D15-1,0),MATCH(G$4,'Adjustment scenario'!$D$10:$W$10,0))/INDEX(OFFSET('Adjustment scenario'!$D$1:$W$1,$D15-1,0),MATCH(F$4,'Adjustment scenario'!$D$10:$W$10,0))-1)*100</f>
        <v>3.162935999999994</v>
      </c>
      <c r="H15" s="277">
        <f ca="1">(INDEX(OFFSET('Adjustment scenario'!$D$1:$W$1,$D15-1,0),MATCH(H$4,'Adjustment scenario'!$D$10:$W$10,0))/INDEX(OFFSET('Adjustment scenario'!$D$1:$W$1,$D15-1,0),MATCH(G$4,'Adjustment scenario'!$D$10:$W$10,0))-1)*100</f>
        <v>2.7749940000000084</v>
      </c>
      <c r="I15" s="277">
        <f ca="1">(INDEX(OFFSET('Adjustment scenario'!$D$1:$W$1,$D15-1,0),MATCH(I$4,'Adjustment scenario'!$D$10:$W$10,0))/INDEX(OFFSET('Adjustment scenario'!$D$1:$W$1,$D15-1,0),MATCH(H$4,'Adjustment scenario'!$D$10:$W$10,0))-1)*100</f>
        <v>2.4398549999999908</v>
      </c>
      <c r="J15" s="277">
        <f ca="1">(INDEX(OFFSET('Adjustment scenario'!$D$1:$W$1,$D15-1,0),MATCH(J$4,'Adjustment scenario'!$D$10:$W$10,0))/INDEX(OFFSET('Adjustment scenario'!$D$1:$W$1,$D15-1,0),MATCH(I$4,'Adjustment scenario'!$D$10:$W$10,0))-1)*100</f>
        <v>2.4153290000000105</v>
      </c>
      <c r="K15" s="277">
        <f ca="1">(INDEX(OFFSET('Adjustment scenario'!$D$1:$W$1,$D15-1,0),MATCH(K$4,'Adjustment scenario'!$D$10:$W$10,0))/INDEX(OFFSET('Adjustment scenario'!$D$1:$W$1,$D15-1,0),MATCH(J$4,'Adjustment scenario'!$D$10:$W$10,0))-1)*100</f>
        <v>2.1204339999999933</v>
      </c>
      <c r="L15" s="277">
        <f ca="1">(INDEX(OFFSET('Adjustment scenario'!$D$1:$W$1,$D15-1,0),MATCH(L$4,'Adjustment scenario'!$D$10:$W$10,0))/INDEX(OFFSET('Adjustment scenario'!$D$1:$W$1,$D15-1,0),MATCH(K$4,'Adjustment scenario'!$D$10:$W$10,0))-1)*100</f>
        <v>2.1205850000000082</v>
      </c>
      <c r="M15" s="277">
        <f ca="1">(INDEX(OFFSET('Adjustment scenario'!$D$1:$W$1,$D15-1,0),MATCH(M$4,'Adjustment scenario'!$D$10:$W$10,0))/INDEX(OFFSET('Adjustment scenario'!$D$1:$W$1,$D15-1,0),MATCH(L$4,'Adjustment scenario'!$D$10:$W$10,0))-1)*100</f>
        <v>1.9756450000000036</v>
      </c>
      <c r="N15" s="277">
        <f ca="1">(INDEX(OFFSET('Adjustment scenario'!$D$1:$W$1,$D15-1,0),MATCH(N$4,'Adjustment scenario'!$D$10:$W$10,0))/INDEX(OFFSET('Adjustment scenario'!$D$1:$W$1,$D15-1,0),MATCH(M$4,'Adjustment scenario'!$D$10:$W$10,0))-1)*100</f>
        <v>1.8373870000000014</v>
      </c>
      <c r="O15" s="277">
        <f ca="1">(INDEX(OFFSET('Adjustment scenario'!$D$1:$W$1,$D15-1,0),MATCH(O$4,'Adjustment scenario'!$D$10:$W$10,0))/INDEX(OFFSET('Adjustment scenario'!$D$1:$W$1,$D15-1,0),MATCH(N$4,'Adjustment scenario'!$D$10:$W$10,0))-1)*100</f>
        <v>1.742982000000004</v>
      </c>
      <c r="P15" s="277">
        <f ca="1">(INDEX(OFFSET('Adjustment scenario'!$D$1:$W$1,$D15-1,0),MATCH(P$4,'Adjustment scenario'!$D$10:$W$10,0))/INDEX(OFFSET('Adjustment scenario'!$D$1:$W$1,$D15-1,0),MATCH(O$4,'Adjustment scenario'!$D$10:$W$10,0))-1)*100</f>
        <v>1.6372210000000109</v>
      </c>
      <c r="Q15" s="277">
        <f ca="1">(INDEX(OFFSET('Adjustment scenario'!$D$1:$W$1,$D15-1,0),MATCH(Q$4,'Adjustment scenario'!$D$10:$W$10,0))/INDEX(OFFSET('Adjustment scenario'!$D$1:$W$1,$D15-1,0),MATCH(P$4,'Adjustment scenario'!$D$10:$W$10,0))-1)*100</f>
        <v>1.6061869999999923</v>
      </c>
      <c r="R15" s="277">
        <f ca="1">(INDEX(OFFSET('Adjustment scenario'!$D$1:$W$1,$D15-1,0),MATCH(R$4,'Adjustment scenario'!$D$10:$W$10,0))/INDEX(OFFSET('Adjustment scenario'!$D$1:$W$1,$D15-1,0),MATCH(Q$4,'Adjustment scenario'!$D$10:$W$10,0))-1)*100</f>
        <v>1.6009649999999986</v>
      </c>
      <c r="S15" s="277">
        <f ca="1">(INDEX(OFFSET('Adjustment scenario'!$D$1:$W$1,$D15-1,0),MATCH(S$4,'Adjustment scenario'!$D$10:$W$10,0))/INDEX(OFFSET('Adjustment scenario'!$D$1:$W$1,$D15-1,0),MATCH(R$4,'Adjustment scenario'!$D$10:$W$10,0))-1)*100</f>
        <v>1.595743000000005</v>
      </c>
      <c r="T15" s="277">
        <f ca="1">(INDEX(OFFSET('Adjustment scenario'!$D$1:$W$1,$D15-1,0),MATCH(T$4,'Adjustment scenario'!$D$10:$W$10,0))/INDEX(OFFSET('Adjustment scenario'!$D$1:$W$1,$D15-1,0),MATCH(S$4,'Adjustment scenario'!$D$10:$W$10,0))-1)*100</f>
        <v>1.5905209999999892</v>
      </c>
      <c r="U15" s="277">
        <f ca="1">(INDEX(OFFSET('Adjustment scenario'!$D$1:$W$1,$D15-1,0),MATCH(U$4,'Adjustment scenario'!$D$10:$W$10,0))/INDEX(OFFSET('Adjustment scenario'!$D$1:$W$1,$D15-1,0),MATCH(T$4,'Adjustment scenario'!$D$10:$W$10,0))-1)*100</f>
        <v>1.5116609999999975</v>
      </c>
      <c r="V15" s="277">
        <f ca="1">(INDEX(OFFSET('Adjustment scenario'!$D$1:$W$1,$D15-1,0),MATCH(V$4,'Adjustment scenario'!$D$10:$W$10,0))/INDEX(OFFSET('Adjustment scenario'!$D$1:$W$1,$D15-1,0),MATCH(U$4,'Adjustment scenario'!$D$10:$W$10,0))-1)*100</f>
        <v>1.4425740000000076</v>
      </c>
      <c r="W15" s="277">
        <f ca="1">(INDEX(OFFSET('Adjustment scenario'!$D$1:$W$1,$D15-1,0),MATCH(W$4,'Adjustment scenario'!$D$10:$W$10,0))/INDEX(OFFSET('Adjustment scenario'!$D$1:$W$1,$D15-1,0),MATCH(V$4,'Adjustment scenario'!$D$10:$W$10,0))-1)*100</f>
        <v>1.3870279999999902</v>
      </c>
      <c r="X15" s="277">
        <f ca="1">(INDEX(OFFSET('Adjustment scenario'!$D$1:$W$1,$D15-1,0),MATCH(X$4,'Adjustment scenario'!$D$10:$W$10,0))/INDEX(OFFSET('Adjustment scenario'!$D$1:$W$1,$D15-1,0),MATCH(W$4,'Adjustment scenario'!$D$10:$W$10,0))-1)*100</f>
        <v>1.3380249999999982</v>
      </c>
      <c r="Y15" s="191"/>
    </row>
    <row r="16" spans="1:25" x14ac:dyDescent="0.2">
      <c r="A16" s="191"/>
      <c r="B16" s="284">
        <v>12</v>
      </c>
      <c r="C16" s="280" t="s">
        <v>157</v>
      </c>
      <c r="D16" s="289">
        <v>24</v>
      </c>
      <c r="E16" s="290" t="s">
        <v>156</v>
      </c>
      <c r="F16" s="277">
        <f ca="1">INDEX(OFFSET('Adjustment scenario'!$D$1:$W$1,$D16-1,0),MATCH(F$4,'Adjustment scenario'!$D$10:$W$10,0))</f>
        <v>1.886822</v>
      </c>
      <c r="G16" s="277">
        <f ca="1">INDEX(OFFSET('Adjustment scenario'!$D$1:$W$1,$D16-1,0),MATCH(G$4,'Adjustment scenario'!$D$10:$W$10,0))</f>
        <v>2.4116029999999999</v>
      </c>
      <c r="H16" s="277">
        <f ca="1">INDEX(OFFSET('Adjustment scenario'!$D$1:$W$1,$D16-1,0),MATCH(H$4,'Adjustment scenario'!$D$10:$W$10,0))</f>
        <v>2.4080389999999952</v>
      </c>
      <c r="I16" s="277">
        <f ca="1">INDEX(OFFSET('Adjustment scenario'!$D$1:$W$1,$D16-1,0),MATCH(I$4,'Adjustment scenario'!$D$10:$W$10,0))</f>
        <v>2.7046475902062994</v>
      </c>
      <c r="J16" s="277">
        <f ca="1">INDEX(OFFSET('Adjustment scenario'!$D$1:$W$1,$D16-1,0),MATCH(J$4,'Adjustment scenario'!$D$10:$W$10,0))</f>
        <v>2.0913335623376161</v>
      </c>
      <c r="K16" s="277">
        <f ca="1">INDEX(OFFSET('Adjustment scenario'!$D$1:$W$1,$D16-1,0),MATCH(K$4,'Adjustment scenario'!$D$10:$W$10,0))</f>
        <v>2.1894609860519054</v>
      </c>
      <c r="L16" s="277">
        <f ca="1">INDEX(OFFSET('Adjustment scenario'!$D$1:$W$1,$D16-1,0),MATCH(L$4,'Adjustment scenario'!$D$10:$W$10,0))</f>
        <v>2.1815618644027923</v>
      </c>
      <c r="M16" s="277">
        <f ca="1">INDEX(OFFSET('Adjustment scenario'!$D$1:$W$1,$D16-1,0),MATCH(M$4,'Adjustment scenario'!$D$10:$W$10,0))</f>
        <v>2.0364989834789515</v>
      </c>
      <c r="N16" s="277">
        <f ca="1">INDEX(OFFSET('Adjustment scenario'!$D$1:$W$1,$D16-1,0),MATCH(N$4,'Adjustment scenario'!$D$10:$W$10,0))</f>
        <v>1.8981222342326243</v>
      </c>
      <c r="O16" s="277">
        <f ca="1">INDEX(OFFSET('Adjustment scenario'!$D$1:$W$1,$D16-1,0),MATCH(O$4,'Adjustment scenario'!$D$10:$W$10,0))</f>
        <v>1.7429810000000101</v>
      </c>
      <c r="P16" s="277">
        <f ca="1">INDEX(OFFSET('Adjustment scenario'!$D$1:$W$1,$D16-1,0),MATCH(P$4,'Adjustment scenario'!$D$10:$W$10,0))</f>
        <v>1.6372229999999988</v>
      </c>
      <c r="Q16" s="277">
        <f ca="1">INDEX(OFFSET('Adjustment scenario'!$D$1:$W$1,$D16-1,0),MATCH(Q$4,'Adjustment scenario'!$D$10:$W$10,0))</f>
        <v>1.6061850000000044</v>
      </c>
      <c r="R16" s="277">
        <f ca="1">INDEX(OFFSET('Adjustment scenario'!$D$1:$W$1,$D16-1,0),MATCH(R$4,'Adjustment scenario'!$D$10:$W$10,0))</f>
        <v>1.6009680000000026</v>
      </c>
      <c r="S16" s="277">
        <f ca="1">INDEX(OFFSET('Adjustment scenario'!$D$1:$W$1,$D16-1,0),MATCH(S$4,'Adjustment scenario'!$D$10:$W$10,0))</f>
        <v>1.595737999999991</v>
      </c>
      <c r="T16" s="277">
        <f ca="1">INDEX(OFFSET('Adjustment scenario'!$D$1:$W$1,$D16-1,0),MATCH(T$4,'Adjustment scenario'!$D$10:$W$10,0))</f>
        <v>1.5905250000000093</v>
      </c>
      <c r="U16" s="277">
        <f ca="1">INDEX(OFFSET('Adjustment scenario'!$D$1:$W$1,$D16-1,0),MATCH(U$4,'Adjustment scenario'!$D$10:$W$10,0))</f>
        <v>1.5116609999999975</v>
      </c>
      <c r="V16" s="277">
        <f ca="1">INDEX(OFFSET('Adjustment scenario'!$D$1:$W$1,$D16-1,0),MATCH(V$4,'Adjustment scenario'!$D$10:$W$10,0))</f>
        <v>1.4425759999999954</v>
      </c>
      <c r="W16" s="277">
        <f ca="1">INDEX(OFFSET('Adjustment scenario'!$D$1:$W$1,$D16-1,0),MATCH(W$4,'Adjustment scenario'!$D$10:$W$10,0))</f>
        <v>1.3870300000000002</v>
      </c>
      <c r="X16" s="277">
        <f ca="1">INDEX(OFFSET('Adjustment scenario'!$D$1:$W$1,$D16-1,0),MATCH(X$4,'Adjustment scenario'!$D$10:$W$10,0))</f>
        <v>1.3380289999999961</v>
      </c>
      <c r="Y16" s="191"/>
    </row>
    <row r="17" spans="1:25" x14ac:dyDescent="0.2">
      <c r="A17" s="191"/>
      <c r="B17" s="284">
        <v>13</v>
      </c>
      <c r="C17" s="293" t="s">
        <v>158</v>
      </c>
      <c r="D17" s="289">
        <v>42</v>
      </c>
      <c r="E17" s="290" t="s">
        <v>156</v>
      </c>
      <c r="F17" s="277">
        <f ca="1">INDEX(OFFSET('Adjustment scenario'!$D$1:$W$1,$D17-1,0),MATCH(F$4,'Adjustment scenario'!$D$10:$W$10,0))</f>
        <v>7.9842040000000001</v>
      </c>
      <c r="G17" s="277">
        <f ca="1">INDEX(OFFSET('Adjustment scenario'!$D$1:$W$1,$D17-1,0),MATCH(G$4,'Adjustment scenario'!$D$10:$W$10,0))</f>
        <v>4.782108</v>
      </c>
      <c r="H17" s="277">
        <f ca="1">INDEX(OFFSET('Adjustment scenario'!$D$1:$W$1,$D17-1,0),MATCH(H$4,'Adjustment scenario'!$D$10:$W$10,0))</f>
        <v>2.3179340000000002</v>
      </c>
      <c r="I17" s="277">
        <f ca="1">INDEX(OFFSET('Adjustment scenario'!$D$1:$W$1,$D17-1,0),MATCH(I$4,'Adjustment scenario'!$D$10:$W$10,0))</f>
        <v>2.7635109999999998</v>
      </c>
      <c r="J17" s="277">
        <f ca="1">INDEX(OFFSET('Adjustment scenario'!$D$1:$W$1,$D17-1,0),MATCH(J$4,'Adjustment scenario'!$D$10:$W$10,0))</f>
        <v>2.7118221249999999</v>
      </c>
      <c r="K17" s="277">
        <f ca="1">INDEX(OFFSET('Adjustment scenario'!$D$1:$W$1,$D17-1,0),MATCH(K$4,'Adjustment scenario'!$D$10:$W$10,0))</f>
        <v>2.6601332499999999</v>
      </c>
      <c r="L17" s="277">
        <f ca="1">INDEX(OFFSET('Adjustment scenario'!$D$1:$W$1,$D17-1,0),MATCH(L$4,'Adjustment scenario'!$D$10:$W$10,0))</f>
        <v>2.6084443749999999</v>
      </c>
      <c r="M17" s="277">
        <f ca="1">INDEX(OFFSET('Adjustment scenario'!$D$1:$W$1,$D17-1,0),MATCH(M$4,'Adjustment scenario'!$D$10:$W$10,0))</f>
        <v>2.5567555</v>
      </c>
      <c r="N17" s="277">
        <f ca="1">INDEX(OFFSET('Adjustment scenario'!$D$1:$W$1,$D17-1,0),MATCH(N$4,'Adjustment scenario'!$D$10:$W$10,0))</f>
        <v>2.505066625</v>
      </c>
      <c r="O17" s="277">
        <f ca="1">INDEX(OFFSET('Adjustment scenario'!$D$1:$W$1,$D17-1,0),MATCH(O$4,'Adjustment scenario'!$D$10:$W$10,0))</f>
        <v>2.45337775</v>
      </c>
      <c r="P17" s="277">
        <f ca="1">INDEX(OFFSET('Adjustment scenario'!$D$1:$W$1,$D17-1,0),MATCH(P$4,'Adjustment scenario'!$D$10:$W$10,0))</f>
        <v>2.4016888750000001</v>
      </c>
      <c r="Q17" s="277">
        <f ca="1">INDEX(OFFSET('Adjustment scenario'!$D$1:$W$1,$D17-1,0),MATCH(Q$4,'Adjustment scenario'!$D$10:$W$10,0))</f>
        <v>2.35</v>
      </c>
      <c r="R17" s="277">
        <f ca="1">INDEX(OFFSET('Adjustment scenario'!$D$1:$W$1,$D17-1,0),MATCH(R$4,'Adjustment scenario'!$D$10:$W$10,0))</f>
        <v>2.3325</v>
      </c>
      <c r="S17" s="277">
        <f ca="1">INDEX(OFFSET('Adjustment scenario'!$D$1:$W$1,$D17-1,0),MATCH(S$4,'Adjustment scenario'!$D$10:$W$10,0))</f>
        <v>2.3149999999999999</v>
      </c>
      <c r="T17" s="277">
        <f ca="1">INDEX(OFFSET('Adjustment scenario'!$D$1:$W$1,$D17-1,0),MATCH(T$4,'Adjustment scenario'!$D$10:$W$10,0))</f>
        <v>2.2974999999999999</v>
      </c>
      <c r="U17" s="277">
        <f ca="1">INDEX(OFFSET('Adjustment scenario'!$D$1:$W$1,$D17-1,0),MATCH(U$4,'Adjustment scenario'!$D$10:$W$10,0))</f>
        <v>2.2800000000000002</v>
      </c>
      <c r="V17" s="277">
        <f ca="1">INDEX(OFFSET('Adjustment scenario'!$D$1:$W$1,$D17-1,0),MATCH(V$4,'Adjustment scenario'!$D$10:$W$10,0))</f>
        <v>2.2625000000000002</v>
      </c>
      <c r="W17" s="277">
        <f ca="1">INDEX(OFFSET('Adjustment scenario'!$D$1:$W$1,$D17-1,0),MATCH(W$4,'Adjustment scenario'!$D$10:$W$10,0))</f>
        <v>2.2450000000000001</v>
      </c>
      <c r="X17" s="277">
        <f ca="1">INDEX(OFFSET('Adjustment scenario'!$D$1:$W$1,$D17-1,0),MATCH(X$4,'Adjustment scenario'!$D$10:$W$10,0))</f>
        <v>2.2275</v>
      </c>
      <c r="Y17" s="191"/>
    </row>
    <row r="18" spans="1:25" x14ac:dyDescent="0.2">
      <c r="A18" s="191"/>
      <c r="B18" s="284">
        <v>14</v>
      </c>
      <c r="C18" s="280" t="s">
        <v>159</v>
      </c>
      <c r="D18" s="289">
        <v>33</v>
      </c>
      <c r="E18" s="290" t="s">
        <v>156</v>
      </c>
      <c r="F18" s="277">
        <f ca="1">INDEX(OFFSET('Adjustment scenario'!$D$1:$W$1,$D18-1,0),MATCH(F$4,'Adjustment scenario'!$D$10:$W$10,0))</f>
        <v>10.02167371759688</v>
      </c>
      <c r="G18" s="277">
        <f ca="1">INDEX(OFFSET('Adjustment scenario'!$D$1:$W$1,$D18-1,0),MATCH(G$4,'Adjustment scenario'!$D$10:$W$10,0))</f>
        <v>7.3090364599912583</v>
      </c>
      <c r="H18" s="277">
        <f ca="1">INDEX(OFFSET('Adjustment scenario'!$D$1:$W$1,$D18-1,0),MATCH(H$4,'Adjustment scenario'!$D$10:$W$10,0))</f>
        <v>4.7817897547142607</v>
      </c>
      <c r="I18" s="277">
        <f ca="1">INDEX(OFFSET('Adjustment scenario'!$D$1:$W$1,$D18-1,0),MATCH(I$4,'Adjustment scenario'!$D$10:$W$10,0))</f>
        <v>5.5429018238728922</v>
      </c>
      <c r="J18" s="277">
        <f ca="1">INDEX(OFFSET('Adjustment scenario'!$D$1:$W$1,$D18-1,0),MATCH(J$4,'Adjustment scenario'!$D$10:$W$10,0))</f>
        <v>4.8598689335886514</v>
      </c>
      <c r="K18" s="277">
        <f ca="1">INDEX(OFFSET('Adjustment scenario'!$D$1:$W$1,$D18-1,0),MATCH(K$4,'Adjustment scenario'!$D$10:$W$10,0))</f>
        <v>4.907836815737654</v>
      </c>
      <c r="L18" s="277">
        <f ca="1">INDEX(OFFSET('Adjustment scenario'!$D$1:$W$1,$D18-1,0),MATCH(L$4,'Adjustment scenario'!$D$10:$W$10,0))</f>
        <v>4.846911067141968</v>
      </c>
      <c r="M18" s="277">
        <f ca="1">INDEX(OFFSET('Adjustment scenario'!$D$1:$W$1,$D18-1,0),MATCH(M$4,'Adjustment scenario'!$D$10:$W$10,0))</f>
        <v>4.6453227832464972</v>
      </c>
      <c r="N18" s="277">
        <f ca="1">INDEX(OFFSET('Adjustment scenario'!$D$1:$W$1,$D18-1,0),MATCH(N$4,'Adjustment scenario'!$D$10:$W$10,0))</f>
        <v>4.4507380858241019</v>
      </c>
      <c r="O18" s="277">
        <f ca="1">INDEX(OFFSET('Adjustment scenario'!$D$1:$W$1,$D18-1,0),MATCH(O$4,'Adjustment scenario'!$D$10:$W$10,0))</f>
        <v>4.2391206580407514</v>
      </c>
      <c r="P18" s="277">
        <f ca="1">INDEX(OFFSET('Adjustment scenario'!$D$1:$W$1,$D18-1,0),MATCH(P$4,'Adjustment scenario'!$D$10:$W$10,0))</f>
        <v>4.0782328776499455</v>
      </c>
      <c r="Q18" s="277">
        <f ca="1">INDEX(OFFSET('Adjustment scenario'!$D$1:$W$1,$D18-1,0),MATCH(Q$4,'Adjustment scenario'!$D$10:$W$10,0))</f>
        <v>3.9939303475000187</v>
      </c>
      <c r="R18" s="277">
        <f ca="1">INDEX(OFFSET('Adjustment scenario'!$D$1:$W$1,$D18-1,0),MATCH(R$4,'Adjustment scenario'!$D$10:$W$10,0))</f>
        <v>3.9708105786000036</v>
      </c>
      <c r="S18" s="277">
        <f ca="1">INDEX(OFFSET('Adjustment scenario'!$D$1:$W$1,$D18-1,0),MATCH(S$4,'Adjustment scenario'!$D$10:$W$10,0))</f>
        <v>3.9476793346999939</v>
      </c>
      <c r="T18" s="277">
        <f ca="1">INDEX(OFFSET('Adjustment scenario'!$D$1:$W$1,$D18-1,0),MATCH(T$4,'Adjustment scenario'!$D$10:$W$10,0))</f>
        <v>3.9245673118750046</v>
      </c>
      <c r="U18" s="277">
        <f ca="1">INDEX(OFFSET('Adjustment scenario'!$D$1:$W$1,$D18-1,0),MATCH(U$4,'Adjustment scenario'!$D$10:$W$10,0))</f>
        <v>3.8261268707999951</v>
      </c>
      <c r="V18" s="277">
        <f ca="1">INDEX(OFFSET('Adjustment scenario'!$D$1:$W$1,$D18-1,0),MATCH(V$4,'Adjustment scenario'!$D$10:$W$10,0))</f>
        <v>3.737714281999982</v>
      </c>
      <c r="W18" s="277">
        <f ca="1">INDEX(OFFSET('Adjustment scenario'!$D$1:$W$1,$D18-1,0),MATCH(W$4,'Adjustment scenario'!$D$10:$W$10,0))</f>
        <v>3.6631688235000182</v>
      </c>
      <c r="X18" s="277">
        <f ca="1">INDEX(OFFSET('Adjustment scenario'!$D$1:$W$1,$D18-1,0),MATCH(X$4,'Adjustment scenario'!$D$10:$W$10,0))</f>
        <v>3.5953335959749921</v>
      </c>
      <c r="Y18" s="191"/>
    </row>
    <row r="19" spans="1:25" x14ac:dyDescent="0.2">
      <c r="A19" s="191"/>
      <c r="B19" s="278"/>
      <c r="C19" s="299"/>
      <c r="D19" s="299"/>
      <c r="E19" s="299"/>
      <c r="F19" s="299"/>
      <c r="G19" s="299"/>
      <c r="H19" s="299"/>
      <c r="I19" s="299"/>
      <c r="J19" s="299"/>
      <c r="K19" s="191"/>
      <c r="L19" s="191"/>
      <c r="M19" s="191"/>
      <c r="N19" s="191"/>
      <c r="O19" s="191"/>
      <c r="P19" s="191"/>
      <c r="Q19" s="191"/>
      <c r="R19" s="191"/>
      <c r="S19" s="191"/>
      <c r="T19" s="191"/>
      <c r="U19" s="191"/>
      <c r="V19" s="191"/>
      <c r="W19" s="191"/>
      <c r="X19" s="191"/>
      <c r="Y19" s="191"/>
    </row>
    <row r="20" spans="1:25" x14ac:dyDescent="0.2">
      <c r="A20" s="191"/>
      <c r="B20" s="300"/>
      <c r="C20" s="282" t="s">
        <v>160</v>
      </c>
      <c r="D20" s="283"/>
      <c r="E20" s="283"/>
      <c r="F20" s="283"/>
      <c r="G20" s="299"/>
      <c r="H20" s="299"/>
      <c r="I20" s="299"/>
      <c r="J20" s="299"/>
      <c r="K20" s="191"/>
      <c r="L20" s="191"/>
      <c r="M20" s="191"/>
      <c r="N20" s="191"/>
      <c r="O20" s="191"/>
      <c r="P20" s="191"/>
      <c r="Q20" s="191"/>
      <c r="R20" s="191"/>
      <c r="S20" s="191"/>
      <c r="T20" s="191"/>
      <c r="U20" s="191"/>
      <c r="V20" s="191"/>
      <c r="W20" s="191"/>
      <c r="X20" s="191"/>
      <c r="Y20" s="191"/>
    </row>
    <row r="21" spans="1:25" x14ac:dyDescent="0.2">
      <c r="A21" s="191"/>
      <c r="B21" s="278"/>
      <c r="C21" s="299"/>
      <c r="D21" s="299"/>
      <c r="E21" s="299"/>
      <c r="F21" s="299"/>
      <c r="G21" s="299"/>
      <c r="H21" s="299"/>
      <c r="I21" s="299"/>
      <c r="J21" s="299"/>
      <c r="K21" s="191"/>
      <c r="L21" s="191"/>
      <c r="M21" s="191"/>
      <c r="N21" s="191"/>
      <c r="O21" s="191"/>
      <c r="P21" s="191"/>
      <c r="Q21" s="191"/>
      <c r="R21" s="191"/>
      <c r="S21" s="191"/>
      <c r="T21" s="191"/>
      <c r="U21" s="191"/>
      <c r="V21" s="191"/>
      <c r="W21" s="191"/>
      <c r="X21" s="191"/>
      <c r="Y21" s="191"/>
    </row>
    <row r="22" spans="1:25" x14ac:dyDescent="0.2">
      <c r="A22" s="191"/>
      <c r="B22" s="284"/>
      <c r="C22" s="282" t="s">
        <v>12</v>
      </c>
      <c r="D22" s="282"/>
      <c r="E22" s="286">
        <f>F22-1</f>
        <v>-1</v>
      </c>
      <c r="F22" s="287"/>
      <c r="G22" s="287"/>
      <c r="H22" s="287"/>
      <c r="I22" s="287"/>
      <c r="J22" s="287"/>
      <c r="K22" s="287"/>
      <c r="L22" s="287"/>
      <c r="M22" s="287"/>
      <c r="N22" s="287"/>
      <c r="O22" s="287"/>
      <c r="P22" s="287"/>
      <c r="Q22" s="287"/>
      <c r="R22" s="287"/>
      <c r="S22" s="287"/>
      <c r="T22" s="287"/>
      <c r="U22" s="287"/>
      <c r="V22" s="287"/>
      <c r="W22" s="287"/>
      <c r="X22" s="287"/>
      <c r="Y22" s="191"/>
    </row>
    <row r="23" spans="1:25" x14ac:dyDescent="0.2">
      <c r="A23" s="191"/>
      <c r="B23" s="284">
        <v>1</v>
      </c>
      <c r="C23" s="288" t="s">
        <v>146</v>
      </c>
      <c r="D23" s="289">
        <v>56</v>
      </c>
      <c r="E23" s="290" t="s">
        <v>147</v>
      </c>
      <c r="F23" s="277"/>
      <c r="G23" s="277"/>
      <c r="H23" s="277"/>
      <c r="I23" s="277"/>
      <c r="J23" s="277"/>
      <c r="K23" s="277"/>
      <c r="L23" s="277"/>
      <c r="M23" s="277"/>
      <c r="N23" s="277"/>
      <c r="O23" s="277"/>
      <c r="P23" s="277"/>
      <c r="Q23" s="277"/>
      <c r="R23" s="277"/>
      <c r="S23" s="277"/>
      <c r="T23" s="277"/>
      <c r="U23" s="277"/>
      <c r="V23" s="277"/>
      <c r="W23" s="277"/>
      <c r="X23" s="277"/>
      <c r="Y23" s="191"/>
    </row>
    <row r="24" spans="1:25" x14ac:dyDescent="0.2">
      <c r="A24" s="191"/>
      <c r="B24" s="284">
        <v>2</v>
      </c>
      <c r="C24" s="288" t="s">
        <v>63</v>
      </c>
      <c r="D24" s="289">
        <v>36</v>
      </c>
      <c r="E24" s="290" t="s">
        <v>153</v>
      </c>
      <c r="F24" s="277"/>
      <c r="G24" s="277"/>
      <c r="H24" s="277"/>
      <c r="I24" s="277"/>
      <c r="J24" s="277"/>
      <c r="K24" s="277"/>
      <c r="L24" s="277"/>
      <c r="M24" s="277"/>
      <c r="N24" s="277"/>
      <c r="O24" s="277"/>
      <c r="P24" s="277"/>
      <c r="Q24" s="277"/>
      <c r="R24" s="277"/>
      <c r="S24" s="277"/>
      <c r="T24" s="277"/>
      <c r="U24" s="277"/>
      <c r="V24" s="277"/>
      <c r="W24" s="277"/>
      <c r="X24" s="277"/>
      <c r="Y24" s="191"/>
    </row>
    <row r="25" spans="1:25" x14ac:dyDescent="0.2">
      <c r="A25" s="191"/>
      <c r="B25" s="284">
        <v>3</v>
      </c>
      <c r="C25" s="288" t="s">
        <v>64</v>
      </c>
      <c r="D25" s="289">
        <v>37</v>
      </c>
      <c r="E25" s="290" t="s">
        <v>153</v>
      </c>
      <c r="F25" s="277"/>
      <c r="G25" s="277"/>
      <c r="H25" s="277"/>
      <c r="I25" s="277"/>
      <c r="J25" s="277"/>
      <c r="K25" s="277"/>
      <c r="L25" s="277"/>
      <c r="M25" s="277"/>
      <c r="N25" s="277"/>
      <c r="O25" s="277"/>
      <c r="P25" s="277"/>
      <c r="Q25" s="277"/>
      <c r="R25" s="277"/>
      <c r="S25" s="277"/>
      <c r="T25" s="277"/>
      <c r="U25" s="277"/>
      <c r="V25" s="277"/>
      <c r="W25" s="277"/>
      <c r="X25" s="277"/>
      <c r="Y25" s="191"/>
    </row>
    <row r="26" spans="1:25" x14ac:dyDescent="0.2">
      <c r="A26" s="191"/>
      <c r="B26" s="284"/>
      <c r="C26" s="282" t="s">
        <v>13</v>
      </c>
      <c r="D26" s="282"/>
      <c r="E26" s="286">
        <f>F26-1</f>
        <v>-1</v>
      </c>
      <c r="F26" s="287"/>
      <c r="G26" s="287"/>
      <c r="H26" s="287"/>
      <c r="I26" s="287"/>
      <c r="J26" s="287"/>
      <c r="K26" s="287"/>
      <c r="L26" s="287"/>
      <c r="M26" s="287"/>
      <c r="N26" s="287"/>
      <c r="O26" s="287"/>
      <c r="P26" s="287"/>
      <c r="Q26" s="287"/>
      <c r="R26" s="287"/>
      <c r="S26" s="287"/>
      <c r="T26" s="287"/>
      <c r="U26" s="287"/>
      <c r="V26" s="287"/>
      <c r="W26" s="287"/>
      <c r="X26" s="287"/>
      <c r="Y26" s="191"/>
    </row>
    <row r="27" spans="1:25" x14ac:dyDescent="0.2">
      <c r="A27" s="191"/>
      <c r="B27" s="284">
        <v>4</v>
      </c>
      <c r="C27" s="288" t="s">
        <v>146</v>
      </c>
      <c r="D27" s="289">
        <v>56</v>
      </c>
      <c r="E27" s="290" t="s">
        <v>147</v>
      </c>
      <c r="F27" s="277"/>
      <c r="G27" s="277"/>
      <c r="H27" s="277"/>
      <c r="I27" s="277"/>
      <c r="J27" s="277"/>
      <c r="K27" s="277"/>
      <c r="L27" s="277"/>
      <c r="M27" s="277"/>
      <c r="N27" s="277"/>
      <c r="O27" s="277"/>
      <c r="P27" s="277"/>
      <c r="Q27" s="277"/>
      <c r="R27" s="277"/>
      <c r="S27" s="277"/>
      <c r="T27" s="277"/>
      <c r="U27" s="277"/>
      <c r="V27" s="277"/>
      <c r="W27" s="277"/>
      <c r="X27" s="277"/>
      <c r="Y27" s="191"/>
    </row>
    <row r="28" spans="1:25" x14ac:dyDescent="0.2">
      <c r="A28" s="191"/>
      <c r="B28" s="284">
        <v>5</v>
      </c>
      <c r="C28" s="288" t="s">
        <v>18</v>
      </c>
      <c r="D28" s="289">
        <v>12</v>
      </c>
      <c r="E28" s="290" t="s">
        <v>149</v>
      </c>
      <c r="F28" s="277"/>
      <c r="G28" s="277"/>
      <c r="H28" s="277"/>
      <c r="I28" s="277"/>
      <c r="J28" s="277"/>
      <c r="K28" s="277"/>
      <c r="L28" s="277"/>
      <c r="M28" s="277"/>
      <c r="N28" s="277"/>
      <c r="O28" s="277"/>
      <c r="P28" s="277"/>
      <c r="Q28" s="277"/>
      <c r="R28" s="277"/>
      <c r="S28" s="277"/>
      <c r="T28" s="277"/>
      <c r="U28" s="277"/>
      <c r="V28" s="277"/>
      <c r="W28" s="277"/>
      <c r="X28" s="277"/>
      <c r="Y28" s="191"/>
    </row>
    <row r="29" spans="1:25" x14ac:dyDescent="0.2">
      <c r="A29" s="191"/>
      <c r="B29" s="284"/>
      <c r="C29" s="282" t="s">
        <v>161</v>
      </c>
      <c r="D29" s="282"/>
      <c r="E29" s="286">
        <f>F29-1</f>
        <v>-1</v>
      </c>
      <c r="F29" s="287"/>
      <c r="G29" s="287"/>
      <c r="H29" s="287"/>
      <c r="I29" s="287"/>
      <c r="J29" s="287"/>
      <c r="K29" s="287"/>
      <c r="L29" s="287"/>
      <c r="M29" s="287"/>
      <c r="N29" s="287"/>
      <c r="O29" s="287"/>
      <c r="P29" s="287"/>
      <c r="Q29" s="287"/>
      <c r="R29" s="287"/>
      <c r="S29" s="287"/>
      <c r="T29" s="287"/>
      <c r="U29" s="287"/>
      <c r="V29" s="287"/>
      <c r="W29" s="287"/>
      <c r="X29" s="287"/>
      <c r="Y29" s="191"/>
    </row>
    <row r="30" spans="1:25" x14ac:dyDescent="0.2">
      <c r="A30" s="191"/>
      <c r="B30" s="284">
        <v>6</v>
      </c>
      <c r="C30" s="288" t="s">
        <v>146</v>
      </c>
      <c r="D30" s="289">
        <v>57</v>
      </c>
      <c r="E30" s="290" t="s">
        <v>147</v>
      </c>
      <c r="F30" s="277"/>
      <c r="G30" s="277"/>
      <c r="H30" s="277"/>
      <c r="I30" s="277"/>
      <c r="J30" s="277"/>
      <c r="K30" s="277"/>
      <c r="L30" s="277"/>
      <c r="M30" s="277"/>
      <c r="N30" s="277"/>
      <c r="O30" s="277"/>
      <c r="P30" s="277"/>
      <c r="Q30" s="277"/>
      <c r="R30" s="277"/>
      <c r="S30" s="277"/>
      <c r="T30" s="277"/>
      <c r="U30" s="277"/>
      <c r="V30" s="277"/>
      <c r="W30" s="277"/>
      <c r="X30" s="277"/>
      <c r="Y30" s="191"/>
    </row>
    <row r="31" spans="1:25" x14ac:dyDescent="0.2">
      <c r="A31" s="191"/>
      <c r="B31" s="284">
        <v>7</v>
      </c>
      <c r="C31" s="288" t="s">
        <v>63</v>
      </c>
      <c r="D31" s="289">
        <v>37</v>
      </c>
      <c r="E31" s="290" t="s">
        <v>153</v>
      </c>
      <c r="F31" s="277"/>
      <c r="G31" s="277"/>
      <c r="H31" s="277"/>
      <c r="I31" s="277"/>
      <c r="J31" s="277"/>
      <c r="K31" s="277"/>
      <c r="L31" s="277"/>
      <c r="M31" s="277"/>
      <c r="N31" s="277"/>
      <c r="O31" s="277"/>
      <c r="P31" s="277"/>
      <c r="Q31" s="277"/>
      <c r="R31" s="277"/>
      <c r="S31" s="277"/>
      <c r="T31" s="277"/>
      <c r="U31" s="277"/>
      <c r="V31" s="277"/>
      <c r="W31" s="277"/>
      <c r="X31" s="277"/>
      <c r="Y31" s="191"/>
    </row>
    <row r="32" spans="1:25" x14ac:dyDescent="0.2">
      <c r="A32" s="191"/>
      <c r="B32" s="284">
        <v>8</v>
      </c>
      <c r="C32" s="288" t="s">
        <v>64</v>
      </c>
      <c r="D32" s="289">
        <v>38</v>
      </c>
      <c r="E32" s="290" t="s">
        <v>153</v>
      </c>
      <c r="F32" s="277"/>
      <c r="G32" s="277"/>
      <c r="H32" s="277"/>
      <c r="I32" s="277"/>
      <c r="J32" s="277"/>
      <c r="K32" s="277"/>
      <c r="L32" s="277"/>
      <c r="M32" s="277"/>
      <c r="N32" s="277"/>
      <c r="O32" s="277"/>
      <c r="P32" s="277"/>
      <c r="Q32" s="277"/>
      <c r="R32" s="277"/>
      <c r="S32" s="277"/>
      <c r="T32" s="277"/>
      <c r="U32" s="277"/>
      <c r="V32" s="277"/>
      <c r="W32" s="277"/>
      <c r="X32" s="277"/>
      <c r="Y32" s="191"/>
    </row>
    <row r="33" spans="1:25" x14ac:dyDescent="0.2">
      <c r="A33" s="191"/>
      <c r="B33" s="284">
        <v>9</v>
      </c>
      <c r="C33" s="280" t="s">
        <v>157</v>
      </c>
      <c r="D33" s="289">
        <v>23</v>
      </c>
      <c r="E33" s="290" t="s">
        <v>156</v>
      </c>
      <c r="F33" s="277"/>
      <c r="G33" s="277"/>
      <c r="H33" s="277"/>
      <c r="I33" s="277"/>
      <c r="J33" s="277"/>
      <c r="K33" s="277"/>
      <c r="L33" s="277"/>
      <c r="M33" s="277"/>
      <c r="N33" s="277"/>
      <c r="O33" s="277"/>
      <c r="P33" s="277"/>
      <c r="Q33" s="277"/>
      <c r="R33" s="277"/>
      <c r="S33" s="277"/>
      <c r="T33" s="277"/>
      <c r="U33" s="277"/>
      <c r="V33" s="277"/>
      <c r="W33" s="277"/>
      <c r="X33" s="277"/>
      <c r="Y33" s="191"/>
    </row>
    <row r="34" spans="1:25" x14ac:dyDescent="0.2">
      <c r="A34" s="191"/>
      <c r="B34" s="284">
        <v>10</v>
      </c>
      <c r="C34" s="292" t="s">
        <v>40</v>
      </c>
      <c r="D34" s="289">
        <v>27</v>
      </c>
      <c r="E34" s="290" t="s">
        <v>156</v>
      </c>
      <c r="F34" s="277"/>
      <c r="G34" s="277"/>
      <c r="H34" s="277"/>
      <c r="I34" s="277"/>
      <c r="J34" s="277"/>
      <c r="K34" s="277"/>
      <c r="L34" s="277"/>
      <c r="M34" s="277"/>
      <c r="N34" s="277"/>
      <c r="O34" s="277"/>
      <c r="P34" s="277"/>
      <c r="Q34" s="277"/>
      <c r="R34" s="277"/>
      <c r="S34" s="277"/>
      <c r="T34" s="277"/>
      <c r="U34" s="277"/>
      <c r="V34" s="277"/>
      <c r="W34" s="277"/>
      <c r="X34" s="277"/>
      <c r="Y34" s="191"/>
    </row>
    <row r="35" spans="1:25" x14ac:dyDescent="0.2">
      <c r="A35" s="191"/>
      <c r="B35" s="284"/>
      <c r="C35" s="282" t="s">
        <v>162</v>
      </c>
      <c r="D35" s="282"/>
      <c r="E35" s="286">
        <f>F35-1</f>
        <v>-1</v>
      </c>
      <c r="F35" s="295"/>
      <c r="G35" s="191"/>
      <c r="H35" s="191"/>
      <c r="I35" s="191"/>
      <c r="J35" s="191"/>
      <c r="K35" s="191"/>
      <c r="L35" s="191"/>
      <c r="M35" s="191"/>
      <c r="N35" s="191"/>
      <c r="O35" s="191"/>
      <c r="P35" s="191"/>
      <c r="Q35" s="191"/>
      <c r="R35" s="191"/>
      <c r="S35" s="191"/>
      <c r="T35" s="191"/>
      <c r="U35" s="191"/>
      <c r="V35" s="191"/>
      <c r="W35" s="191"/>
      <c r="X35" s="191"/>
      <c r="Y35" s="191"/>
    </row>
    <row r="36" spans="1:25" x14ac:dyDescent="0.2">
      <c r="A36" s="191"/>
      <c r="B36" s="284">
        <v>11</v>
      </c>
      <c r="C36" s="288" t="s">
        <v>163</v>
      </c>
      <c r="D36" s="301" t="s">
        <v>167</v>
      </c>
      <c r="E36" s="290" t="s">
        <v>153</v>
      </c>
      <c r="F36" s="277"/>
      <c r="G36" s="308"/>
      <c r="H36" s="297"/>
      <c r="I36" s="298"/>
      <c r="J36" s="298"/>
      <c r="K36" s="297"/>
      <c r="L36" s="298"/>
      <c r="M36" s="297"/>
      <c r="N36" s="297"/>
      <c r="O36" s="298"/>
      <c r="P36" s="298"/>
      <c r="Q36" s="297"/>
      <c r="R36" s="298"/>
      <c r="S36" s="297"/>
      <c r="T36" s="302"/>
      <c r="U36" s="86"/>
      <c r="V36" s="309"/>
      <c r="W36" s="310"/>
      <c r="X36" s="309"/>
      <c r="Y36" s="86"/>
    </row>
    <row r="37" spans="1:25" x14ac:dyDescent="0.2">
      <c r="A37" s="191"/>
      <c r="B37" s="278"/>
      <c r="C37" s="299"/>
      <c r="D37" s="299"/>
      <c r="E37" s="299"/>
      <c r="F37" s="299"/>
      <c r="G37" s="299"/>
      <c r="H37" s="299"/>
      <c r="I37" s="299"/>
      <c r="J37" s="299"/>
      <c r="K37" s="191"/>
      <c r="L37" s="191"/>
      <c r="M37" s="191"/>
      <c r="N37" s="191"/>
      <c r="O37" s="191"/>
      <c r="P37" s="191"/>
      <c r="Q37" s="308"/>
      <c r="R37" s="308"/>
      <c r="S37" s="308"/>
      <c r="T37" s="308"/>
      <c r="U37" s="308"/>
      <c r="V37" s="308"/>
      <c r="W37" s="191"/>
      <c r="X37" s="191"/>
      <c r="Y37" s="191"/>
    </row>
    <row r="38" spans="1:25" x14ac:dyDescent="0.2">
      <c r="A38" s="191"/>
      <c r="B38" s="300"/>
      <c r="C38" s="282" t="s">
        <v>164</v>
      </c>
      <c r="D38" s="283"/>
      <c r="E38" s="283"/>
      <c r="F38" s="294"/>
      <c r="G38" s="191"/>
      <c r="H38" s="191"/>
      <c r="I38" s="191"/>
      <c r="J38" s="191"/>
      <c r="K38" s="191"/>
      <c r="L38" s="191"/>
      <c r="M38" s="191"/>
      <c r="N38" s="191"/>
      <c r="O38" s="191"/>
      <c r="P38" s="191"/>
      <c r="Q38" s="191"/>
      <c r="R38" s="191"/>
      <c r="S38" s="191"/>
      <c r="T38" s="191"/>
      <c r="U38" s="191"/>
      <c r="V38" s="191"/>
      <c r="W38" s="191"/>
      <c r="X38" s="191"/>
      <c r="Y38" s="191"/>
    </row>
    <row r="39" spans="1:25" x14ac:dyDescent="0.2">
      <c r="A39" s="191"/>
      <c r="B39" s="278"/>
      <c r="C39" s="299"/>
      <c r="D39" s="299"/>
      <c r="E39" s="299"/>
      <c r="F39" s="299"/>
      <c r="G39" s="299"/>
      <c r="H39" s="299"/>
      <c r="I39" s="299"/>
      <c r="J39" s="299"/>
      <c r="K39" s="191"/>
      <c r="L39" s="191"/>
      <c r="M39" s="191"/>
      <c r="N39" s="191"/>
      <c r="O39" s="191"/>
      <c r="P39" s="191"/>
      <c r="Q39" s="191"/>
      <c r="R39" s="191"/>
      <c r="S39" s="191"/>
      <c r="T39" s="191"/>
      <c r="U39" s="191"/>
      <c r="V39" s="191"/>
      <c r="W39" s="191"/>
      <c r="X39" s="191"/>
      <c r="Y39" s="191"/>
    </row>
    <row r="40" spans="1:25" x14ac:dyDescent="0.2">
      <c r="A40" s="191"/>
      <c r="B40" s="284"/>
      <c r="C40" s="282"/>
      <c r="D40" s="282"/>
      <c r="E40" s="287"/>
      <c r="F40" s="287">
        <f>'Input data'!$C$5-1</f>
        <v>2023</v>
      </c>
      <c r="G40" s="287">
        <f>F40+1</f>
        <v>2024</v>
      </c>
      <c r="H40" s="287">
        <f t="shared" ref="H40:X40" si="1">G40+1</f>
        <v>2025</v>
      </c>
      <c r="I40" s="287">
        <f t="shared" si="1"/>
        <v>2026</v>
      </c>
      <c r="J40" s="287">
        <f t="shared" si="1"/>
        <v>2027</v>
      </c>
      <c r="K40" s="287">
        <f t="shared" si="1"/>
        <v>2028</v>
      </c>
      <c r="L40" s="287">
        <f t="shared" si="1"/>
        <v>2029</v>
      </c>
      <c r="M40" s="287">
        <f t="shared" si="1"/>
        <v>2030</v>
      </c>
      <c r="N40" s="287">
        <f t="shared" si="1"/>
        <v>2031</v>
      </c>
      <c r="O40" s="287">
        <f t="shared" si="1"/>
        <v>2032</v>
      </c>
      <c r="P40" s="287">
        <f t="shared" si="1"/>
        <v>2033</v>
      </c>
      <c r="Q40" s="287">
        <f t="shared" si="1"/>
        <v>2034</v>
      </c>
      <c r="R40" s="287">
        <f t="shared" si="1"/>
        <v>2035</v>
      </c>
      <c r="S40" s="287">
        <f t="shared" si="1"/>
        <v>2036</v>
      </c>
      <c r="T40" s="287">
        <f t="shared" si="1"/>
        <v>2037</v>
      </c>
      <c r="U40" s="287">
        <f t="shared" si="1"/>
        <v>2038</v>
      </c>
      <c r="V40" s="287">
        <f t="shared" si="1"/>
        <v>2039</v>
      </c>
      <c r="W40" s="287">
        <f t="shared" si="1"/>
        <v>2040</v>
      </c>
      <c r="X40" s="287">
        <f t="shared" si="1"/>
        <v>2041</v>
      </c>
      <c r="Y40" s="191"/>
    </row>
    <row r="41" spans="1:25" x14ac:dyDescent="0.2">
      <c r="A41" s="191"/>
      <c r="B41" s="284">
        <v>1</v>
      </c>
      <c r="C41" s="288" t="s">
        <v>146</v>
      </c>
      <c r="D41" s="289">
        <v>56</v>
      </c>
      <c r="E41" s="290" t="s">
        <v>147</v>
      </c>
      <c r="F41" s="277">
        <f ca="1">INDEX(OFFSET('Baseline NFPC'!$D$1:$W$1,$D41-1,0),MATCH(F$4,'Baseline NFPC'!$D$10:$W$10,0))</f>
        <v>22.884294685123706</v>
      </c>
      <c r="G41" s="277">
        <f ca="1">INDEX(OFFSET('Baseline NFPC'!$D$1:$W$1,$D41-1,0),MATCH(G$4,'Baseline NFPC'!$D$10:$W$10,0))</f>
        <v>24.494983925203403</v>
      </c>
      <c r="H41" s="277">
        <f ca="1">INDEX(OFFSET('Baseline NFPC'!$D$1:$W$1,$D41-1,0),MATCH(H$4,'Baseline NFPC'!$D$10:$W$10,0))</f>
        <v>23.227988623762442</v>
      </c>
      <c r="I41" s="277">
        <f ca="1">INDEX(OFFSET('Baseline NFPC'!$D$1:$W$1,$D41-1,0),MATCH(I$4,'Baseline NFPC'!$D$10:$W$10,0))</f>
        <v>24.53635204564273</v>
      </c>
      <c r="J41" s="277">
        <f ca="1">INDEX(OFFSET('Baseline NFPC'!$D$1:$W$1,$D41-1,0),MATCH(J$4,'Baseline NFPC'!$D$10:$W$10,0))</f>
        <v>26.201117307568566</v>
      </c>
      <c r="K41" s="277">
        <f ca="1">INDEX(OFFSET('Baseline NFPC'!$D$1:$W$1,$D41-1,0),MATCH(K$4,'Baseline NFPC'!$D$10:$W$10,0))</f>
        <v>27.92589419266686</v>
      </c>
      <c r="L41" s="277">
        <f ca="1">INDEX(OFFSET('Baseline NFPC'!$D$1:$W$1,$D41-1,0),MATCH(L$4,'Baseline NFPC'!$D$10:$W$10,0))</f>
        <v>29.610056403650937</v>
      </c>
      <c r="M41" s="277">
        <f ca="1">INDEX(OFFSET('Baseline NFPC'!$D$1:$W$1,$D41-1,0),MATCH(M$4,'Baseline NFPC'!$D$10:$W$10,0))</f>
        <v>31.246329635464317</v>
      </c>
      <c r="N41" s="277">
        <f ca="1">INDEX(OFFSET('Baseline NFPC'!$D$1:$W$1,$D41-1,0),MATCH(N$4,'Baseline NFPC'!$D$10:$W$10,0))</f>
        <v>32.897297607833409</v>
      </c>
      <c r="O41" s="277">
        <f ca="1">INDEX(OFFSET('Baseline NFPC'!$D$1:$W$1,$D41-1,0),MATCH(O$4,'Baseline NFPC'!$D$10:$W$10,0))</f>
        <v>34.559565386362678</v>
      </c>
      <c r="P41" s="277">
        <f ca="1">INDEX(OFFSET('Baseline NFPC'!$D$1:$W$1,$D41-1,0),MATCH(P$4,'Baseline NFPC'!$D$10:$W$10,0))</f>
        <v>36.235140968359588</v>
      </c>
      <c r="Q41" s="277">
        <f ca="1">INDEX(OFFSET('Baseline NFPC'!$D$1:$W$1,$D41-1,0),MATCH(Q$4,'Baseline NFPC'!$D$10:$W$10,0))</f>
        <v>37.911257812458963</v>
      </c>
      <c r="R41" s="277">
        <f ca="1">INDEX(OFFSET('Baseline NFPC'!$D$1:$W$1,$D41-1,0),MATCH(R$4,'Baseline NFPC'!$D$10:$W$10,0))</f>
        <v>39.563690071238334</v>
      </c>
      <c r="S41" s="277">
        <f ca="1">INDEX(OFFSET('Baseline NFPC'!$D$1:$W$1,$D41-1,0),MATCH(S$4,'Baseline NFPC'!$D$10:$W$10,0))</f>
        <v>41.194398768937958</v>
      </c>
      <c r="T41" s="277">
        <f ca="1">INDEX(OFFSET('Baseline NFPC'!$D$1:$W$1,$D41-1,0),MATCH(T$4,'Baseline NFPC'!$D$10:$W$10,0))</f>
        <v>42.79414771844182</v>
      </c>
      <c r="U41" s="277">
        <f ca="1">INDEX(OFFSET('Baseline NFPC'!$D$1:$W$1,$D41-1,0),MATCH(U$4,'Baseline NFPC'!$D$10:$W$10,0))</f>
        <v>44.397783160896154</v>
      </c>
      <c r="V41" s="277">
        <f ca="1">INDEX(OFFSET('Baseline NFPC'!$D$1:$W$1,$D41-1,0),MATCH(V$4,'Baseline NFPC'!$D$10:$W$10,0))</f>
        <v>46.025385329640038</v>
      </c>
      <c r="W41" s="277">
        <f ca="1">INDEX(OFFSET('Baseline NFPC'!$D$1:$W$1,$D41-1,0),MATCH(W$4,'Baseline NFPC'!$D$10:$W$10,0))</f>
        <v>47.681383668509511</v>
      </c>
      <c r="X41" s="277">
        <f ca="1">INDEX(OFFSET('Baseline NFPC'!$D$1:$W$1,$D41-1,0),MATCH(X$4,'Baseline NFPC'!$D$10:$W$10,0))</f>
        <v>49.398543966800901</v>
      </c>
      <c r="Y41" s="191"/>
    </row>
    <row r="42" spans="1:25" x14ac:dyDescent="0.2">
      <c r="A42" s="191"/>
      <c r="B42" s="284">
        <v>2</v>
      </c>
      <c r="C42" s="288" t="s">
        <v>148</v>
      </c>
      <c r="D42" s="289">
        <v>76</v>
      </c>
      <c r="E42" s="290" t="s">
        <v>147</v>
      </c>
      <c r="F42" s="277">
        <f ca="1">INDEX(OFFSET('Baseline NFPC'!$D$1:$W$1,$D42-1,0),MATCH(F$4,'Baseline NFPC'!$D$10:$W$10,0))</f>
        <v>-2.0024050348224529</v>
      </c>
      <c r="G42" s="277">
        <f ca="1">INDEX(OFFSET('Baseline NFPC'!$D$1:$W$1,$D42-1,0),MATCH(G$4,'Baseline NFPC'!$D$10:$W$10,0))</f>
        <v>-2.6315401809889596</v>
      </c>
      <c r="H42" s="277">
        <f ca="1">INDEX(OFFSET('Baseline NFPC'!$D$1:$W$1,$D42-1,0),MATCH(H$4,'Baseline NFPC'!$D$10:$W$10,0))</f>
        <v>-2.8787265127915358</v>
      </c>
      <c r="I42" s="277">
        <f ca="1">INDEX(OFFSET('Baseline NFPC'!$D$1:$W$1,$D42-1,0),MATCH(I$4,'Baseline NFPC'!$D$10:$W$10,0))</f>
        <v>-2.7206661355978365</v>
      </c>
      <c r="J42" s="277">
        <f ca="1">INDEX(OFFSET('Baseline NFPC'!$D$1:$W$1,$D42-1,0),MATCH(J$4,'Baseline NFPC'!$D$10:$W$10,0))</f>
        <v>-2.832767320510444</v>
      </c>
      <c r="K42" s="277">
        <f ca="1">INDEX(OFFSET('Baseline NFPC'!$D$1:$W$1,$D42-1,0),MATCH(K$4,'Baseline NFPC'!$D$10:$W$10,0))</f>
        <v>-2.8872802403292126</v>
      </c>
      <c r="L42" s="277">
        <f ca="1">INDEX(OFFSET('Baseline NFPC'!$D$1:$W$1,$D42-1,0),MATCH(L$4,'Baseline NFPC'!$D$10:$W$10,0))</f>
        <v>-2.9096959291830413</v>
      </c>
      <c r="M42" s="277">
        <f ca="1">INDEX(OFFSET('Baseline NFPC'!$D$1:$W$1,$D42-1,0),MATCH(M$4,'Baseline NFPC'!$D$10:$W$10,0))</f>
        <v>-2.9338104578794155</v>
      </c>
      <c r="N42" s="277">
        <f ca="1">INDEX(OFFSET('Baseline NFPC'!$D$1:$W$1,$D42-1,0),MATCH(N$4,'Baseline NFPC'!$D$10:$W$10,0))</f>
        <v>-2.9645611557867007</v>
      </c>
      <c r="O42" s="277">
        <f ca="1">INDEX(OFFSET('Baseline NFPC'!$D$1:$W$1,$D42-1,0),MATCH(O$4,'Baseline NFPC'!$D$10:$W$10,0))</f>
        <v>-3.0001111237409788</v>
      </c>
      <c r="P42" s="277">
        <f ca="1">INDEX(OFFSET('Baseline NFPC'!$D$1:$W$1,$D42-1,0),MATCH(P$4,'Baseline NFPC'!$D$10:$W$10,0))</f>
        <v>-3.0297680187732245</v>
      </c>
      <c r="Q42" s="277">
        <f ca="1">INDEX(OFFSET('Baseline NFPC'!$D$1:$W$1,$D42-1,0),MATCH(Q$4,'Baseline NFPC'!$D$10:$W$10,0))</f>
        <v>-3.0677425733691726</v>
      </c>
      <c r="R42" s="277">
        <f ca="1">INDEX(OFFSET('Baseline NFPC'!$D$1:$W$1,$D42-1,0),MATCH(R$4,'Baseline NFPC'!$D$10:$W$10,0))</f>
        <v>-3.1003234768240695</v>
      </c>
      <c r="S42" s="277">
        <f ca="1">INDEX(OFFSET('Baseline NFPC'!$D$1:$W$1,$D42-1,0),MATCH(S$4,'Baseline NFPC'!$D$10:$W$10,0))</f>
        <v>-3.1332411515104033</v>
      </c>
      <c r="T42" s="277">
        <f ca="1">INDEX(OFFSET('Baseline NFPC'!$D$1:$W$1,$D42-1,0),MATCH(T$4,'Baseline NFPC'!$D$10:$W$10,0))</f>
        <v>-3.1553983500517537</v>
      </c>
      <c r="U42" s="277">
        <f ca="1">INDEX(OFFSET('Baseline NFPC'!$D$1:$W$1,$D42-1,0),MATCH(U$4,'Baseline NFPC'!$D$10:$W$10,0))</f>
        <v>-3.1806550562386935</v>
      </c>
      <c r="V42" s="277">
        <f ca="1">INDEX(OFFSET('Baseline NFPC'!$D$1:$W$1,$D42-1,0),MATCH(V$4,'Baseline NFPC'!$D$10:$W$10,0))</f>
        <v>-3.2272733139795866</v>
      </c>
      <c r="W42" s="277">
        <f ca="1">INDEX(OFFSET('Baseline NFPC'!$D$1:$W$1,$D42-1,0),MATCH(W$4,'Baseline NFPC'!$D$10:$W$10,0))</f>
        <v>-3.2824077815151367</v>
      </c>
      <c r="X42" s="277">
        <f ca="1">INDEX(OFFSET('Baseline NFPC'!$D$1:$W$1,$D42-1,0),MATCH(X$4,'Baseline NFPC'!$D$10:$W$10,0))</f>
        <v>-3.3719692038213411</v>
      </c>
      <c r="Y42" s="191"/>
    </row>
    <row r="43" spans="1:25" x14ac:dyDescent="0.2">
      <c r="A43" s="191"/>
      <c r="B43" s="284">
        <v>3</v>
      </c>
      <c r="C43" s="288" t="s">
        <v>18</v>
      </c>
      <c r="D43" s="289">
        <v>12</v>
      </c>
      <c r="E43" s="290" t="s">
        <v>149</v>
      </c>
      <c r="F43" s="277">
        <f ca="1">INDEX(OFFSET('Baseline NFPC'!$D$1:$W$1,$D43-1,0),MATCH(F$4,'Baseline NFPC'!$D$10:$W$10,0))</f>
        <v>-1.7785709999999999</v>
      </c>
      <c r="G43" s="277">
        <f ca="1">INDEX(OFFSET('Baseline NFPC'!$D$1:$W$1,$D43-1,0),MATCH(G$4,'Baseline NFPC'!$D$10:$W$10,0))</f>
        <v>-2.0899299999999998</v>
      </c>
      <c r="H43" s="277">
        <f ca="1">INDEX(OFFSET('Baseline NFPC'!$D$1:$W$1,$D43-1,0),MATCH(H$4,'Baseline NFPC'!$D$10:$W$10,0))</f>
        <v>-2.0899299999999998</v>
      </c>
      <c r="I43" s="277">
        <f ca="1">INDEX(OFFSET('Baseline NFPC'!$D$1:$W$1,$D43-1,0),MATCH(I$4,'Baseline NFPC'!$D$10:$W$10,0))</f>
        <v>-2.0899299999999998</v>
      </c>
      <c r="J43" s="277">
        <f ca="1">INDEX(OFFSET('Baseline NFPC'!$D$1:$W$1,$D43-1,0),MATCH(J$4,'Baseline NFPC'!$D$10:$W$10,0))</f>
        <v>-2.0899299999999998</v>
      </c>
      <c r="K43" s="277">
        <f ca="1">INDEX(OFFSET('Baseline NFPC'!$D$1:$W$1,$D43-1,0),MATCH(K$4,'Baseline NFPC'!$D$10:$W$10,0))</f>
        <v>-2.0899299999999998</v>
      </c>
      <c r="L43" s="277">
        <f ca="1">INDEX(OFFSET('Baseline NFPC'!$D$1:$W$1,$D43-1,0),MATCH(L$4,'Baseline NFPC'!$D$10:$W$10,0))</f>
        <v>-2.0899299999999998</v>
      </c>
      <c r="M43" s="277">
        <f ca="1">INDEX(OFFSET('Baseline NFPC'!$D$1:$W$1,$D43-1,0),MATCH(M$4,'Baseline NFPC'!$D$10:$W$10,0))</f>
        <v>-2.0899299999999998</v>
      </c>
      <c r="N43" s="277">
        <f ca="1">INDEX(OFFSET('Baseline NFPC'!$D$1:$W$1,$D43-1,0),MATCH(N$4,'Baseline NFPC'!$D$10:$W$10,0))</f>
        <v>-2.0899299999999998</v>
      </c>
      <c r="O43" s="277">
        <f ca="1">INDEX(OFFSET('Baseline NFPC'!$D$1:$W$1,$D43-1,0),MATCH(O$4,'Baseline NFPC'!$D$10:$W$10,0))</f>
        <v>-2.0899299999999998</v>
      </c>
      <c r="P43" s="277">
        <f ca="1">INDEX(OFFSET('Baseline NFPC'!$D$1:$W$1,$D43-1,0),MATCH(P$4,'Baseline NFPC'!$D$10:$W$10,0))</f>
        <v>-2.0899299999999998</v>
      </c>
      <c r="Q43" s="277">
        <f ca="1">INDEX(OFFSET('Baseline NFPC'!$D$1:$W$1,$D43-1,0),MATCH(Q$4,'Baseline NFPC'!$D$10:$W$10,0))</f>
        <v>-2.0899299999999998</v>
      </c>
      <c r="R43" s="277">
        <f ca="1">INDEX(OFFSET('Baseline NFPC'!$D$1:$W$1,$D43-1,0),MATCH(R$4,'Baseline NFPC'!$D$10:$W$10,0))</f>
        <v>-2.0899299999999998</v>
      </c>
      <c r="S43" s="277">
        <f ca="1">INDEX(OFFSET('Baseline NFPC'!$D$1:$W$1,$D43-1,0),MATCH(S$4,'Baseline NFPC'!$D$10:$W$10,0))</f>
        <v>-2.0899299999999998</v>
      </c>
      <c r="T43" s="277">
        <f ca="1">INDEX(OFFSET('Baseline NFPC'!$D$1:$W$1,$D43-1,0),MATCH(T$4,'Baseline NFPC'!$D$10:$W$10,0))</f>
        <v>-2.0899299999999998</v>
      </c>
      <c r="U43" s="277">
        <f ca="1">INDEX(OFFSET('Baseline NFPC'!$D$1:$W$1,$D43-1,0),MATCH(U$4,'Baseline NFPC'!$D$10:$W$10,0))</f>
        <v>-2.0899299999999998</v>
      </c>
      <c r="V43" s="277">
        <f ca="1">INDEX(OFFSET('Baseline NFPC'!$D$1:$W$1,$D43-1,0),MATCH(V$4,'Baseline NFPC'!$D$10:$W$10,0))</f>
        <v>-2.0899299999999998</v>
      </c>
      <c r="W43" s="277">
        <f ca="1">INDEX(OFFSET('Baseline NFPC'!$D$1:$W$1,$D43-1,0),MATCH(W$4,'Baseline NFPC'!$D$10:$W$10,0))</f>
        <v>-2.0899299999999998</v>
      </c>
      <c r="X43" s="277">
        <f ca="1">INDEX(OFFSET('Baseline NFPC'!$D$1:$W$1,$D43-1,0),MATCH(X$4,'Baseline NFPC'!$D$10:$W$10,0))</f>
        <v>-2.0899299999999998</v>
      </c>
      <c r="Y43" s="191"/>
    </row>
    <row r="44" spans="1:25" x14ac:dyDescent="0.2">
      <c r="A44" s="191"/>
      <c r="B44" s="284">
        <v>4</v>
      </c>
      <c r="C44" s="288" t="s">
        <v>150</v>
      </c>
      <c r="D44" s="289">
        <v>61</v>
      </c>
      <c r="E44" s="290" t="s">
        <v>149</v>
      </c>
      <c r="F44" s="277">
        <f ca="1">INDEX(OFFSET('Baseline NFPC'!$D$1:$W$1,$D44-1,0),MATCH(F$4,'Baseline NFPC'!$D$10:$W$10,0))</f>
        <v>-0.26965387290526494</v>
      </c>
      <c r="G44" s="277">
        <f ca="1">INDEX(OFFSET('Baseline NFPC'!$D$1:$W$1,$D44-1,0),MATCH(G$4,'Baseline NFPC'!$D$10:$W$10,0))</f>
        <v>-5.0657359920302E-2</v>
      </c>
      <c r="H44" s="277">
        <f ca="1">INDEX(OFFSET('Baseline NFPC'!$D$1:$W$1,$D44-1,0),MATCH(H$4,'Baseline NFPC'!$D$10:$W$10,0))</f>
        <v>-3.1210501440960579E-2</v>
      </c>
      <c r="I44" s="277">
        <f ca="1">INDEX(OFFSET('Baseline NFPC'!$D$1:$W$1,$D44-1,0),MATCH(I$4,'Baseline NFPC'!$D$10:$W$10,0))</f>
        <v>-0.16615702465899554</v>
      </c>
      <c r="J44" s="277">
        <f ca="1">INDEX(OFFSET('Baseline NFPC'!$D$1:$W$1,$D44-1,0),MATCH(J$4,'Baseline NFPC'!$D$10:$W$10,0))</f>
        <v>-0.1107703579425042</v>
      </c>
      <c r="K44" s="277">
        <f ca="1">INDEX(OFFSET('Baseline NFPC'!$D$1:$W$1,$D44-1,0),MATCH(K$4,'Baseline NFPC'!$D$10:$W$10,0))</f>
        <v>-5.5383239381516874E-2</v>
      </c>
      <c r="L44" s="277">
        <f ca="1">INDEX(OFFSET('Baseline NFPC'!$D$1:$W$1,$D44-1,0),MATCH(L$4,'Baseline NFPC'!$D$10:$W$10,0))</f>
        <v>3.2662353611323523E-6</v>
      </c>
      <c r="M44" s="277">
        <f ca="1">INDEX(OFFSET('Baseline NFPC'!$D$1:$W$1,$D44-1,0),MATCH(M$4,'Baseline NFPC'!$D$10:$W$10,0))</f>
        <v>4.1429151861338553E-6</v>
      </c>
      <c r="N44" s="277">
        <f ca="1">INDEX(OFFSET('Baseline NFPC'!$D$1:$W$1,$D44-1,0),MATCH(N$4,'Baseline NFPC'!$D$10:$W$10,0))</f>
        <v>3.5576685169402819E-6</v>
      </c>
      <c r="O44" s="277">
        <f ca="1">INDEX(OFFSET('Baseline NFPC'!$D$1:$W$1,$D44-1,0),MATCH(O$4,'Baseline NFPC'!$D$10:$W$10,0))</f>
        <v>3.8505633755736563E-6</v>
      </c>
      <c r="P44" s="277">
        <f ca="1">INDEX(OFFSET('Baseline NFPC'!$D$1:$W$1,$D44-1,0),MATCH(P$4,'Baseline NFPC'!$D$10:$W$10,0))</f>
        <v>3.2641641100950024E-6</v>
      </c>
      <c r="Q44" s="277">
        <f ca="1">INDEX(OFFSET('Baseline NFPC'!$D$1:$W$1,$D44-1,0),MATCH(Q$4,'Baseline NFPC'!$D$10:$W$10,0))</f>
        <v>3.8507424925393607E-6</v>
      </c>
      <c r="R44" s="277">
        <f ca="1">INDEX(OFFSET('Baseline NFPC'!$D$1:$W$1,$D44-1,0),MATCH(R$4,'Baseline NFPC'!$D$10:$W$10,0))</f>
        <v>2.9708297053954167E-6</v>
      </c>
      <c r="S44" s="277">
        <f ca="1">INDEX(OFFSET('Baseline NFPC'!$D$1:$W$1,$D44-1,0),MATCH(S$4,'Baseline NFPC'!$D$10:$W$10,0))</f>
        <v>4.4374264447810676E-6</v>
      </c>
      <c r="T44" s="277">
        <f ca="1">INDEX(OFFSET('Baseline NFPC'!$D$1:$W$1,$D44-1,0),MATCH(T$4,'Baseline NFPC'!$D$10:$W$10,0))</f>
        <v>3.2640887928980788E-6</v>
      </c>
      <c r="U44" s="277">
        <f ca="1">INDEX(OFFSET('Baseline NFPC'!$D$1:$W$1,$D44-1,0),MATCH(U$4,'Baseline NFPC'!$D$10:$W$10,0))</f>
        <v>3.2640887895896142E-6</v>
      </c>
      <c r="V44" s="277">
        <f ca="1">INDEX(OFFSET('Baseline NFPC'!$D$1:$W$1,$D44-1,0),MATCH(V$4,'Baseline NFPC'!$D$10:$W$10,0))</f>
        <v>2.6765643384552005E-6</v>
      </c>
      <c r="W44" s="277">
        <f ca="1">INDEX(OFFSET('Baseline NFPC'!$D$1:$W$1,$D44-1,0),MATCH(W$4,'Baseline NFPC'!$D$10:$W$10,0))</f>
        <v>2.0887179869477632E-6</v>
      </c>
      <c r="X44" s="277">
        <f ca="1">INDEX(OFFSET('Baseline NFPC'!$D$1:$W$1,$D44-1,0),MATCH(X$4,'Baseline NFPC'!$D$10:$W$10,0))</f>
        <v>9.1245674083140216E-7</v>
      </c>
      <c r="Y44" s="191"/>
    </row>
    <row r="45" spans="1:25" x14ac:dyDescent="0.2">
      <c r="A45" s="191"/>
      <c r="B45" s="284">
        <v>5</v>
      </c>
      <c r="C45" s="288" t="s">
        <v>152</v>
      </c>
      <c r="D45" s="289">
        <v>67</v>
      </c>
      <c r="E45" s="290" t="s">
        <v>147</v>
      </c>
      <c r="F45" s="277">
        <f ca="1">INDEX(OFFSET('Baseline NFPC'!$D$1:$W$1,$D45-1,0),MATCH(F$4,'Baseline NFPC'!$D$10:$W$10,0))</f>
        <v>0.49348790772771806</v>
      </c>
      <c r="G45" s="277">
        <f ca="1">INDEX(OFFSET('Baseline NFPC'!$D$1:$W$1,$D45-1,0),MATCH(G$4,'Baseline NFPC'!$D$10:$W$10,0))</f>
        <v>0.59226754090926192</v>
      </c>
      <c r="H45" s="277">
        <f ca="1">INDEX(OFFSET('Baseline NFPC'!$D$1:$W$1,$D45-1,0),MATCH(H$4,'Baseline NFPC'!$D$10:$W$10,0))</f>
        <v>0.58261301423249778</v>
      </c>
      <c r="I45" s="277">
        <f ca="1">INDEX(OFFSET('Baseline NFPC'!$D$1:$W$1,$D45-1,0),MATCH(I$4,'Baseline NFPC'!$D$10:$W$10,0))</f>
        <v>0.54903516025683419</v>
      </c>
      <c r="J45" s="277">
        <f ca="1">INDEX(OFFSET('Baseline NFPC'!$D$1:$W$1,$D45-1,0),MATCH(J$4,'Baseline NFPC'!$D$10:$W$10,0))</f>
        <v>0.6558366784529498</v>
      </c>
      <c r="K45" s="277">
        <f ca="1">INDEX(OFFSET('Baseline NFPC'!$D$1:$W$1,$D45-1,0),MATCH(K$4,'Baseline NFPC'!$D$10:$W$10,0))</f>
        <v>0.77174847971073157</v>
      </c>
      <c r="L45" s="277">
        <f ca="1">INDEX(OFFSET('Baseline NFPC'!$D$1:$W$1,$D45-1,0),MATCH(L$4,'Baseline NFPC'!$D$10:$W$10,0))</f>
        <v>0.88674366294768225</v>
      </c>
      <c r="M45" s="277">
        <f ca="1">INDEX(OFFSET('Baseline NFPC'!$D$1:$W$1,$D45-1,0),MATCH(M$4,'Baseline NFPC'!$D$10:$W$10,0))</f>
        <v>0.99959331496423187</v>
      </c>
      <c r="N45" s="277">
        <f ca="1">INDEX(OFFSET('Baseline NFPC'!$D$1:$W$1,$D45-1,0),MATCH(N$4,'Baseline NFPC'!$D$10:$W$10,0))</f>
        <v>1.1128015981181825</v>
      </c>
      <c r="O45" s="277">
        <f ca="1">INDEX(OFFSET('Baseline NFPC'!$D$1:$W$1,$D45-1,0),MATCH(O$4,'Baseline NFPC'!$D$10:$W$10,0))</f>
        <v>1.226867273177602</v>
      </c>
      <c r="P45" s="277">
        <f ca="1">INDEX(OFFSET('Baseline NFPC'!$D$1:$W$1,$D45-1,0),MATCH(P$4,'Baseline NFPC'!$D$10:$W$10,0))</f>
        <v>1.3427307546091165</v>
      </c>
      <c r="Q45" s="277">
        <f ca="1">INDEX(OFFSET('Baseline NFPC'!$D$1:$W$1,$D45-1,0),MATCH(Q$4,'Baseline NFPC'!$D$10:$W$10,0))</f>
        <v>1.45956072262668</v>
      </c>
      <c r="R45" s="277">
        <f ca="1">INDEX(OFFSET('Baseline NFPC'!$D$1:$W$1,$D45-1,0),MATCH(R$4,'Baseline NFPC'!$D$10:$W$10,0))</f>
        <v>1.5687495059943655</v>
      </c>
      <c r="S45" s="277">
        <f ca="1">INDEX(OFFSET('Baseline NFPC'!$D$1:$W$1,$D45-1,0),MATCH(S$4,'Baseline NFPC'!$D$10:$W$10,0))</f>
        <v>1.6714717140839592</v>
      </c>
      <c r="T45" s="277">
        <f ca="1">INDEX(OFFSET('Baseline NFPC'!$D$1:$W$1,$D45-1,0),MATCH(T$4,'Baseline NFPC'!$D$10:$W$10,0))</f>
        <v>1.7681960859629617</v>
      </c>
      <c r="U45" s="277">
        <f ca="1">INDEX(OFFSET('Baseline NFPC'!$D$1:$W$1,$D45-1,0),MATCH(U$4,'Baseline NFPC'!$D$10:$W$10,0))</f>
        <v>1.8601787921499033</v>
      </c>
      <c r="V45" s="277">
        <f ca="1">INDEX(OFFSET('Baseline NFPC'!$D$1:$W$1,$D45-1,0),MATCH(V$4,'Baseline NFPC'!$D$10:$W$10,0))</f>
        <v>1.9478646374152477</v>
      </c>
      <c r="W45" s="277">
        <f ca="1">INDEX(OFFSET('Baseline NFPC'!$D$1:$W$1,$D45-1,0),MATCH(W$4,'Baseline NFPC'!$D$10:$W$10,0))</f>
        <v>2.0323856927971478</v>
      </c>
      <c r="X45" s="277">
        <f ca="1">INDEX(OFFSET('Baseline NFPC'!$D$1:$W$1,$D45-1,0),MATCH(X$4,'Baseline NFPC'!$D$10:$W$10,0))</f>
        <v>2.1143042913646024</v>
      </c>
      <c r="Y45" s="191"/>
    </row>
    <row r="46" spans="1:25" x14ac:dyDescent="0.2">
      <c r="A46" s="191"/>
      <c r="B46" s="284">
        <v>6</v>
      </c>
      <c r="C46" s="291" t="s">
        <v>63</v>
      </c>
      <c r="D46" s="289">
        <v>36</v>
      </c>
      <c r="E46" s="290" t="s">
        <v>153</v>
      </c>
      <c r="F46" s="277">
        <f ca="1">INDEX(OFFSET('Baseline NFPC'!$D$1:$W$1,$D46-1,0),MATCH(F$4,'Baseline NFPC'!$D$10:$W$10,0))</f>
        <v>3.75</v>
      </c>
      <c r="G46" s="277">
        <f ca="1">INDEX(OFFSET('Baseline NFPC'!$D$1:$W$1,$D46-1,0),MATCH(G$4,'Baseline NFPC'!$D$10:$W$10,0))</f>
        <v>3.9555020000000001</v>
      </c>
      <c r="H46" s="277">
        <f ca="1">INDEX(OFFSET('Baseline NFPC'!$D$1:$W$1,$D46-1,0),MATCH(H$4,'Baseline NFPC'!$D$10:$W$10,0))</f>
        <v>4.0576990000000004</v>
      </c>
      <c r="I46" s="277">
        <f ca="1">INDEX(OFFSET('Baseline NFPC'!$D$1:$W$1,$D46-1,0),MATCH(I$4,'Baseline NFPC'!$D$10:$W$10,0))</f>
        <v>4.1636879999999996</v>
      </c>
      <c r="J46" s="277">
        <f ca="1">INDEX(OFFSET('Baseline NFPC'!$D$1:$W$1,$D46-1,0),MATCH(J$4,'Baseline NFPC'!$D$10:$W$10,0))</f>
        <v>4.2805169999999997</v>
      </c>
      <c r="K46" s="277">
        <f ca="1">INDEX(OFFSET('Baseline NFPC'!$D$1:$W$1,$D46-1,0),MATCH(K$4,'Baseline NFPC'!$D$10:$W$10,0))</f>
        <v>4.3973459999999998</v>
      </c>
      <c r="L46" s="277">
        <f ca="1">INDEX(OFFSET('Baseline NFPC'!$D$1:$W$1,$D46-1,0),MATCH(L$4,'Baseline NFPC'!$D$10:$W$10,0))</f>
        <v>4.5141749999999998</v>
      </c>
      <c r="M46" s="277">
        <f ca="1">INDEX(OFFSET('Baseline NFPC'!$D$1:$W$1,$D46-1,0),MATCH(M$4,'Baseline NFPC'!$D$10:$W$10,0))</f>
        <v>4.6310039999999999</v>
      </c>
      <c r="N46" s="277">
        <f ca="1">INDEX(OFFSET('Baseline NFPC'!$D$1:$W$1,$D46-1,0),MATCH(N$4,'Baseline NFPC'!$D$10:$W$10,0))</f>
        <v>4.747833</v>
      </c>
      <c r="O46" s="277">
        <f ca="1">INDEX(OFFSET('Baseline NFPC'!$D$1:$W$1,$D46-1,0),MATCH(O$4,'Baseline NFPC'!$D$10:$W$10,0))</f>
        <v>4.864662</v>
      </c>
      <c r="P46" s="277">
        <f ca="1">INDEX(OFFSET('Baseline NFPC'!$D$1:$W$1,$D46-1,0),MATCH(P$4,'Baseline NFPC'!$D$10:$W$10,0))</f>
        <v>4.9814910000000001</v>
      </c>
      <c r="Q46" s="277">
        <f ca="1">INDEX(OFFSET('Baseline NFPC'!$D$1:$W$1,$D46-1,0),MATCH(Q$4,'Baseline NFPC'!$D$10:$W$10,0))</f>
        <v>5.0983200000000002</v>
      </c>
      <c r="R46" s="277">
        <f ca="1">INDEX(OFFSET('Baseline NFPC'!$D$1:$W$1,$D46-1,0),MATCH(R$4,'Baseline NFPC'!$D$10:$W$10,0))</f>
        <v>5.0434039999999998</v>
      </c>
      <c r="S46" s="277">
        <f ca="1">INDEX(OFFSET('Baseline NFPC'!$D$1:$W$1,$D46-1,0),MATCH(S$4,'Baseline NFPC'!$D$10:$W$10,0))</f>
        <v>4.9884880000000003</v>
      </c>
      <c r="T46" s="277">
        <f ca="1">INDEX(OFFSET('Baseline NFPC'!$D$1:$W$1,$D46-1,0),MATCH(T$4,'Baseline NFPC'!$D$10:$W$10,0))</f>
        <v>4.9335719999999998</v>
      </c>
      <c r="U46" s="277">
        <f ca="1">INDEX(OFFSET('Baseline NFPC'!$D$1:$W$1,$D46-1,0),MATCH(U$4,'Baseline NFPC'!$D$10:$W$10,0))</f>
        <v>4.8786560000000003</v>
      </c>
      <c r="V46" s="277">
        <f ca="1">INDEX(OFFSET('Baseline NFPC'!$D$1:$W$1,$D46-1,0),MATCH(V$4,'Baseline NFPC'!$D$10:$W$10,0))</f>
        <v>4.8237399999999999</v>
      </c>
      <c r="W46" s="277">
        <f ca="1">INDEX(OFFSET('Baseline NFPC'!$D$1:$W$1,$D46-1,0),MATCH(W$4,'Baseline NFPC'!$D$10:$W$10,0))</f>
        <v>4.7688240000000004</v>
      </c>
      <c r="X46" s="277">
        <f ca="1">INDEX(OFFSET('Baseline NFPC'!$D$1:$W$1,$D46-1,0),MATCH(X$4,'Baseline NFPC'!$D$10:$W$10,0))</f>
        <v>4.713908</v>
      </c>
      <c r="Y46" s="191"/>
    </row>
    <row r="47" spans="1:25" x14ac:dyDescent="0.2">
      <c r="A47" s="191"/>
      <c r="B47" s="284">
        <v>7</v>
      </c>
      <c r="C47" s="291" t="s">
        <v>64</v>
      </c>
      <c r="D47" s="289">
        <v>37</v>
      </c>
      <c r="E47" s="290" t="s">
        <v>153</v>
      </c>
      <c r="F47" s="277">
        <f ca="1">INDEX(OFFSET('Baseline NFPC'!$D$1:$W$1,$D47-1,0),MATCH(F$4,'Baseline NFPC'!$D$10:$W$10,0))</f>
        <v>2.7915420000000002</v>
      </c>
      <c r="G47" s="277">
        <f ca="1">INDEX(OFFSET('Baseline NFPC'!$D$1:$W$1,$D47-1,0),MATCH(G$4,'Baseline NFPC'!$D$10:$W$10,0))</f>
        <v>2.8907919999999998</v>
      </c>
      <c r="H47" s="277">
        <f ca="1">INDEX(OFFSET('Baseline NFPC'!$D$1:$W$1,$D47-1,0),MATCH(H$4,'Baseline NFPC'!$D$10:$W$10,0))</f>
        <v>1.427792</v>
      </c>
      <c r="I47" s="277">
        <f ca="1">INDEX(OFFSET('Baseline NFPC'!$D$1:$W$1,$D47-1,0),MATCH(I$4,'Baseline NFPC'!$D$10:$W$10,0))</f>
        <v>1.3572919999999999</v>
      </c>
      <c r="J47" s="277">
        <f ca="1">INDEX(OFFSET('Baseline NFPC'!$D$1:$W$1,$D47-1,0),MATCH(J$4,'Baseline NFPC'!$D$10:$W$10,0))</f>
        <v>1.5327305</v>
      </c>
      <c r="K47" s="277">
        <f ca="1">INDEX(OFFSET('Baseline NFPC'!$D$1:$W$1,$D47-1,0),MATCH(K$4,'Baseline NFPC'!$D$10:$W$10,0))</f>
        <v>1.708169</v>
      </c>
      <c r="L47" s="277">
        <f ca="1">INDEX(OFFSET('Baseline NFPC'!$D$1:$W$1,$D47-1,0),MATCH(L$4,'Baseline NFPC'!$D$10:$W$10,0))</f>
        <v>1.8836075000000001</v>
      </c>
      <c r="M47" s="277">
        <f ca="1">INDEX(OFFSET('Baseline NFPC'!$D$1:$W$1,$D47-1,0),MATCH(M$4,'Baseline NFPC'!$D$10:$W$10,0))</f>
        <v>2.0590459999999999</v>
      </c>
      <c r="N47" s="277">
        <f ca="1">INDEX(OFFSET('Baseline NFPC'!$D$1:$W$1,$D47-1,0),MATCH(N$4,'Baseline NFPC'!$D$10:$W$10,0))</f>
        <v>2.2344844999999998</v>
      </c>
      <c r="O47" s="277">
        <f ca="1">INDEX(OFFSET('Baseline NFPC'!$D$1:$W$1,$D47-1,0),MATCH(O$4,'Baseline NFPC'!$D$10:$W$10,0))</f>
        <v>2.4099229999999996</v>
      </c>
      <c r="P47" s="277">
        <f ca="1">INDEX(OFFSET('Baseline NFPC'!$D$1:$W$1,$D47-1,0),MATCH(P$4,'Baseline NFPC'!$D$10:$W$10,0))</f>
        <v>2.5853614999999994</v>
      </c>
      <c r="Q47" s="277">
        <f ca="1">INDEX(OFFSET('Baseline NFPC'!$D$1:$W$1,$D47-1,0),MATCH(Q$4,'Baseline NFPC'!$D$10:$W$10,0))</f>
        <v>2.7608000000000001</v>
      </c>
      <c r="R47" s="277">
        <f ca="1">INDEX(OFFSET('Baseline NFPC'!$D$1:$W$1,$D47-1,0),MATCH(R$4,'Baseline NFPC'!$D$10:$W$10,0))</f>
        <v>2.7227600000000001</v>
      </c>
      <c r="S47" s="277">
        <f ca="1">INDEX(OFFSET('Baseline NFPC'!$D$1:$W$1,$D47-1,0),MATCH(S$4,'Baseline NFPC'!$D$10:$W$10,0))</f>
        <v>2.68472</v>
      </c>
      <c r="T47" s="277">
        <f ca="1">INDEX(OFFSET('Baseline NFPC'!$D$1:$W$1,$D47-1,0),MATCH(T$4,'Baseline NFPC'!$D$10:$W$10,0))</f>
        <v>2.6466799999999999</v>
      </c>
      <c r="U47" s="277">
        <f ca="1">INDEX(OFFSET('Baseline NFPC'!$D$1:$W$1,$D47-1,0),MATCH(U$4,'Baseline NFPC'!$D$10:$W$10,0))</f>
        <v>2.6086400000000003</v>
      </c>
      <c r="V47" s="277">
        <f ca="1">INDEX(OFFSET('Baseline NFPC'!$D$1:$W$1,$D47-1,0),MATCH(V$4,'Baseline NFPC'!$D$10:$W$10,0))</f>
        <v>2.5706000000000002</v>
      </c>
      <c r="W47" s="277">
        <f ca="1">INDEX(OFFSET('Baseline NFPC'!$D$1:$W$1,$D47-1,0),MATCH(W$4,'Baseline NFPC'!$D$10:$W$10,0))</f>
        <v>2.5325600000000001</v>
      </c>
      <c r="X47" s="277">
        <f ca="1">INDEX(OFFSET('Baseline NFPC'!$D$1:$W$1,$D47-1,0),MATCH(X$4,'Baseline NFPC'!$D$10:$W$10,0))</f>
        <v>2.4945200000000001</v>
      </c>
      <c r="Y47" s="191"/>
    </row>
    <row r="48" spans="1:25" x14ac:dyDescent="0.2">
      <c r="A48" s="191"/>
      <c r="B48" s="284">
        <v>8</v>
      </c>
      <c r="C48" s="288" t="s">
        <v>154</v>
      </c>
      <c r="D48" s="289">
        <v>35</v>
      </c>
      <c r="E48" s="290" t="s">
        <v>153</v>
      </c>
      <c r="F48" s="277">
        <f ca="1">INDEX(OFFSET('Baseline NFPC'!$D$1:$W$1,$D48-1,0),MATCH(F$4,'Baseline NFPC'!$D$10:$W$10,0))</f>
        <v>2.4150100000000001</v>
      </c>
      <c r="G48" s="277">
        <f ca="1">INDEX(OFFSET('Baseline NFPC'!$D$1:$W$1,$D48-1,0),MATCH(G$4,'Baseline NFPC'!$D$10:$W$10,0))</f>
        <v>2.7772610000000002</v>
      </c>
      <c r="H48" s="277">
        <f ca="1">INDEX(OFFSET('Baseline NFPC'!$D$1:$W$1,$D48-1,0),MATCH(H$4,'Baseline NFPC'!$D$10:$W$10,0))</f>
        <v>2.4995349999999998</v>
      </c>
      <c r="I48" s="277">
        <f ca="1">INDEX(OFFSET('Baseline NFPC'!$D$1:$W$1,$D48-1,0),MATCH(I$4,'Baseline NFPC'!$D$10:$W$10,0))</f>
        <v>2.49952</v>
      </c>
      <c r="J48" s="277">
        <f ca="1">INDEX(OFFSET('Baseline NFPC'!$D$1:$W$1,$D48-1,0),MATCH(J$4,'Baseline NFPC'!$D$10:$W$10,0))</f>
        <v>2.8065168435775996</v>
      </c>
      <c r="K48" s="277">
        <f ca="1">INDEX(OFFSET('Baseline NFPC'!$D$1:$W$1,$D48-1,0),MATCH(K$4,'Baseline NFPC'!$D$10:$W$10,0))</f>
        <v>3.0822332305605915</v>
      </c>
      <c r="L48" s="277">
        <f ca="1">INDEX(OFFSET('Baseline NFPC'!$D$1:$W$1,$D48-1,0),MATCH(L$4,'Baseline NFPC'!$D$10:$W$10,0))</f>
        <v>3.3210924766189094</v>
      </c>
      <c r="M48" s="277">
        <f ca="1">INDEX(OFFSET('Baseline NFPC'!$D$1:$W$1,$D48-1,0),MATCH(M$4,'Baseline NFPC'!$D$10:$W$10,0))</f>
        <v>3.5305700234390045</v>
      </c>
      <c r="N48" s="277">
        <f ca="1">INDEX(OFFSET('Baseline NFPC'!$D$1:$W$1,$D48-1,0),MATCH(N$4,'Baseline NFPC'!$D$10:$W$10,0))</f>
        <v>3.7176741254543493</v>
      </c>
      <c r="O48" s="277">
        <f ca="1">INDEX(OFFSET('Baseline NFPC'!$D$1:$W$1,$D48-1,0),MATCH(O$4,'Baseline NFPC'!$D$10:$W$10,0))</f>
        <v>3.8874793682052871</v>
      </c>
      <c r="P48" s="277">
        <f ca="1">INDEX(OFFSET('Baseline NFPC'!$D$1:$W$1,$D48-1,0),MATCH(P$4,'Baseline NFPC'!$D$10:$W$10,0))</f>
        <v>4.0437153247689777</v>
      </c>
      <c r="Q48" s="277">
        <f ca="1">INDEX(OFFSET('Baseline NFPC'!$D$1:$W$1,$D48-1,0),MATCH(Q$4,'Baseline NFPC'!$D$10:$W$10,0))</f>
        <v>4.1889020456502255</v>
      </c>
      <c r="R48" s="277">
        <f ca="1">INDEX(OFFSET('Baseline NFPC'!$D$1:$W$1,$D48-1,0),MATCH(R$4,'Baseline NFPC'!$D$10:$W$10,0))</f>
        <v>4.3022618384191613</v>
      </c>
      <c r="S48" s="277">
        <f ca="1">INDEX(OFFSET('Baseline NFPC'!$D$1:$W$1,$D48-1,0),MATCH(S$4,'Baseline NFPC'!$D$10:$W$10,0))</f>
        <v>4.3915419780049492</v>
      </c>
      <c r="T48" s="277">
        <f ca="1">INDEX(OFFSET('Baseline NFPC'!$D$1:$W$1,$D48-1,0),MATCH(T$4,'Baseline NFPC'!$D$10:$W$10,0))</f>
        <v>4.4607766746874473</v>
      </c>
      <c r="U48" s="277">
        <f ca="1">INDEX(OFFSET('Baseline NFPC'!$D$1:$W$1,$D48-1,0),MATCH(U$4,'Baseline NFPC'!$D$10:$W$10,0))</f>
        <v>4.5131208254650481</v>
      </c>
      <c r="V48" s="277">
        <f ca="1">INDEX(OFFSET('Baseline NFPC'!$D$1:$W$1,$D48-1,0),MATCH(V$4,'Baseline NFPC'!$D$10:$W$10,0))</f>
        <v>4.5512863667969636</v>
      </c>
      <c r="W48" s="277">
        <f ca="1">INDEX(OFFSET('Baseline NFPC'!$D$1:$W$1,$D48-1,0),MATCH(W$4,'Baseline NFPC'!$D$10:$W$10,0))</f>
        <v>4.5775508380419359</v>
      </c>
      <c r="X48" s="277">
        <f ca="1">INDEX(OFFSET('Baseline NFPC'!$D$1:$W$1,$D48-1,0),MATCH(X$4,'Baseline NFPC'!$D$10:$W$10,0))</f>
        <v>4.5936598633561481</v>
      </c>
      <c r="Y48" s="191"/>
    </row>
    <row r="49" spans="1:25" x14ac:dyDescent="0.2">
      <c r="A49" s="191"/>
      <c r="B49" s="284">
        <v>9</v>
      </c>
      <c r="C49" s="292" t="s">
        <v>40</v>
      </c>
      <c r="D49" s="289">
        <v>26</v>
      </c>
      <c r="E49" s="290" t="s">
        <v>156</v>
      </c>
      <c r="F49" s="277">
        <f ca="1">(INDEX(OFFSET('Baseline NFPC'!$D$1:$W$1,$D49-1,0),MATCH(F$4,'Baseline NFPC'!$D$10:$W$10,0))/INDEX(OFFSET('Baseline NFPC'!$D$1:$W$1,$D49-1,0),MATCH(E$4,'Baseline NFPC'!$D$10:$W$10,0))-1)*100</f>
        <v>2.7298700000000009</v>
      </c>
      <c r="G49" s="277">
        <f ca="1">(INDEX(OFFSET('Baseline NFPC'!$D$1:$W$1,$D49-1,0),MATCH(G$4,'Baseline NFPC'!$D$10:$W$10,0))/INDEX(OFFSET('Baseline NFPC'!$D$1:$W$1,$D49-1,0),MATCH(F$4,'Baseline NFPC'!$D$10:$W$10,0))-1)*100</f>
        <v>3.162935999999994</v>
      </c>
      <c r="H49" s="277">
        <f ca="1">(INDEX(OFFSET('Baseline NFPC'!$D$1:$W$1,$D49-1,0),MATCH(H$4,'Baseline NFPC'!$D$10:$W$10,0))/INDEX(OFFSET('Baseline NFPC'!$D$1:$W$1,$D49-1,0),MATCH(G$4,'Baseline NFPC'!$D$10:$W$10,0))-1)*100</f>
        <v>2.7749940000000084</v>
      </c>
      <c r="I49" s="277">
        <f ca="1">(INDEX(OFFSET('Baseline NFPC'!$D$1:$W$1,$D49-1,0),MATCH(I$4,'Baseline NFPC'!$D$10:$W$10,0))/INDEX(OFFSET('Baseline NFPC'!$D$1:$W$1,$D49-1,0),MATCH(H$4,'Baseline NFPC'!$D$10:$W$10,0))-1)*100</f>
        <v>2.4398549999999908</v>
      </c>
      <c r="J49" s="277">
        <f ca="1">(INDEX(OFFSET('Baseline NFPC'!$D$1:$W$1,$D49-1,0),MATCH(J$4,'Baseline NFPC'!$D$10:$W$10,0))/INDEX(OFFSET('Baseline NFPC'!$D$1:$W$1,$D49-1,0),MATCH(I$4,'Baseline NFPC'!$D$10:$W$10,0))-1)*100</f>
        <v>2.4153290000000105</v>
      </c>
      <c r="K49" s="277">
        <f ca="1">(INDEX(OFFSET('Baseline NFPC'!$D$1:$W$1,$D49-1,0),MATCH(K$4,'Baseline NFPC'!$D$10:$W$10,0))/INDEX(OFFSET('Baseline NFPC'!$D$1:$W$1,$D49-1,0),MATCH(J$4,'Baseline NFPC'!$D$10:$W$10,0))-1)*100</f>
        <v>2.1204339999999933</v>
      </c>
      <c r="L49" s="277">
        <f ca="1">(INDEX(OFFSET('Baseline NFPC'!$D$1:$W$1,$D49-1,0),MATCH(L$4,'Baseline NFPC'!$D$10:$W$10,0))/INDEX(OFFSET('Baseline NFPC'!$D$1:$W$1,$D49-1,0),MATCH(K$4,'Baseline NFPC'!$D$10:$W$10,0))-1)*100</f>
        <v>2.1205850000000082</v>
      </c>
      <c r="M49" s="277">
        <f ca="1">(INDEX(OFFSET('Baseline NFPC'!$D$1:$W$1,$D49-1,0),MATCH(M$4,'Baseline NFPC'!$D$10:$W$10,0))/INDEX(OFFSET('Baseline NFPC'!$D$1:$W$1,$D49-1,0),MATCH(L$4,'Baseline NFPC'!$D$10:$W$10,0))-1)*100</f>
        <v>1.9756450000000036</v>
      </c>
      <c r="N49" s="277">
        <f ca="1">(INDEX(OFFSET('Baseline NFPC'!$D$1:$W$1,$D49-1,0),MATCH(N$4,'Baseline NFPC'!$D$10:$W$10,0))/INDEX(OFFSET('Baseline NFPC'!$D$1:$W$1,$D49-1,0),MATCH(M$4,'Baseline NFPC'!$D$10:$W$10,0))-1)*100</f>
        <v>1.8373870000000014</v>
      </c>
      <c r="O49" s="277">
        <f ca="1">(INDEX(OFFSET('Baseline NFPC'!$D$1:$W$1,$D49-1,0),MATCH(O$4,'Baseline NFPC'!$D$10:$W$10,0))/INDEX(OFFSET('Baseline NFPC'!$D$1:$W$1,$D49-1,0),MATCH(N$4,'Baseline NFPC'!$D$10:$W$10,0))-1)*100</f>
        <v>1.742982000000004</v>
      </c>
      <c r="P49" s="277">
        <f ca="1">(INDEX(OFFSET('Baseline NFPC'!$D$1:$W$1,$D49-1,0),MATCH(P$4,'Baseline NFPC'!$D$10:$W$10,0))/INDEX(OFFSET('Baseline NFPC'!$D$1:$W$1,$D49-1,0),MATCH(O$4,'Baseline NFPC'!$D$10:$W$10,0))-1)*100</f>
        <v>1.6372210000000109</v>
      </c>
      <c r="Q49" s="277">
        <f ca="1">(INDEX(OFFSET('Baseline NFPC'!$D$1:$W$1,$D49-1,0),MATCH(Q$4,'Baseline NFPC'!$D$10:$W$10,0))/INDEX(OFFSET('Baseline NFPC'!$D$1:$W$1,$D49-1,0),MATCH(P$4,'Baseline NFPC'!$D$10:$W$10,0))-1)*100</f>
        <v>1.6061869999999923</v>
      </c>
      <c r="R49" s="277">
        <f ca="1">(INDEX(OFFSET('Baseline NFPC'!$D$1:$W$1,$D49-1,0),MATCH(R$4,'Baseline NFPC'!$D$10:$W$10,0))/INDEX(OFFSET('Baseline NFPC'!$D$1:$W$1,$D49-1,0),MATCH(Q$4,'Baseline NFPC'!$D$10:$W$10,0))-1)*100</f>
        <v>1.6009649999999986</v>
      </c>
      <c r="S49" s="277">
        <f ca="1">(INDEX(OFFSET('Baseline NFPC'!$D$1:$W$1,$D49-1,0),MATCH(S$4,'Baseline NFPC'!$D$10:$W$10,0))/INDEX(OFFSET('Baseline NFPC'!$D$1:$W$1,$D49-1,0),MATCH(R$4,'Baseline NFPC'!$D$10:$W$10,0))-1)*100</f>
        <v>1.595743000000005</v>
      </c>
      <c r="T49" s="277">
        <f ca="1">(INDEX(OFFSET('Baseline NFPC'!$D$1:$W$1,$D49-1,0),MATCH(T$4,'Baseline NFPC'!$D$10:$W$10,0))/INDEX(OFFSET('Baseline NFPC'!$D$1:$W$1,$D49-1,0),MATCH(S$4,'Baseline NFPC'!$D$10:$W$10,0))-1)*100</f>
        <v>1.5905209999999892</v>
      </c>
      <c r="U49" s="277">
        <f ca="1">(INDEX(OFFSET('Baseline NFPC'!$D$1:$W$1,$D49-1,0),MATCH(U$4,'Baseline NFPC'!$D$10:$W$10,0))/INDEX(OFFSET('Baseline NFPC'!$D$1:$W$1,$D49-1,0),MATCH(T$4,'Baseline NFPC'!$D$10:$W$10,0))-1)*100</f>
        <v>1.5116609999999975</v>
      </c>
      <c r="V49" s="277">
        <f ca="1">(INDEX(OFFSET('Baseline NFPC'!$D$1:$W$1,$D49-1,0),MATCH(V$4,'Baseline NFPC'!$D$10:$W$10,0))/INDEX(OFFSET('Baseline NFPC'!$D$1:$W$1,$D49-1,0),MATCH(U$4,'Baseline NFPC'!$D$10:$W$10,0))-1)*100</f>
        <v>1.4425740000000076</v>
      </c>
      <c r="W49" s="277">
        <f ca="1">(INDEX(OFFSET('Baseline NFPC'!$D$1:$W$1,$D49-1,0),MATCH(W$4,'Baseline NFPC'!$D$10:$W$10,0))/INDEX(OFFSET('Baseline NFPC'!$D$1:$W$1,$D49-1,0),MATCH(V$4,'Baseline NFPC'!$D$10:$W$10,0))-1)*100</f>
        <v>1.3870279999999902</v>
      </c>
      <c r="X49" s="277">
        <f ca="1">(INDEX(OFFSET('Baseline NFPC'!$D$1:$W$1,$D49-1,0),MATCH(X$4,'Baseline NFPC'!$D$10:$W$10,0))/INDEX(OFFSET('Baseline NFPC'!$D$1:$W$1,$D49-1,0),MATCH(W$4,'Baseline NFPC'!$D$10:$W$10,0))-1)*100</f>
        <v>1.3380249999999982</v>
      </c>
      <c r="Y49" s="191"/>
    </row>
    <row r="50" spans="1:25" x14ac:dyDescent="0.2">
      <c r="A50" s="191"/>
      <c r="B50" s="284">
        <v>10</v>
      </c>
      <c r="C50" s="280" t="s">
        <v>157</v>
      </c>
      <c r="D50" s="289">
        <v>23</v>
      </c>
      <c r="E50" s="290" t="s">
        <v>156</v>
      </c>
      <c r="F50" s="277">
        <f ca="1">INDEX(OFFSET('Baseline NFPC'!$D$1:$W$1,$D50-1,0),MATCH(F$4,'Baseline NFPC'!$D$10:$W$10,0))</f>
        <v>1.886822</v>
      </c>
      <c r="G50" s="277">
        <f ca="1">INDEX(OFFSET('Baseline NFPC'!$D$1:$W$1,$D50-1,0),MATCH(G$4,'Baseline NFPC'!$D$10:$W$10,0))</f>
        <v>2.4116029999999999</v>
      </c>
      <c r="H50" s="277">
        <f ca="1">INDEX(OFFSET('Baseline NFPC'!$D$1:$W$1,$D50-1,0),MATCH(H$4,'Baseline NFPC'!$D$10:$W$10,0))</f>
        <v>2.7080389999999999</v>
      </c>
      <c r="I50" s="277">
        <f ca="1">INDEX(OFFSET('Baseline NFPC'!$D$1:$W$1,$D50-1,0),MATCH(I$4,'Baseline NFPC'!$D$10:$W$10,0))</f>
        <v>2.9032589999999998</v>
      </c>
      <c r="J50" s="277">
        <f ca="1">INDEX(OFFSET('Baseline NFPC'!$D$1:$W$1,$D50-1,0),MATCH(J$4,'Baseline NFPC'!$D$10:$W$10,0))</f>
        <v>2.2260339999999998</v>
      </c>
      <c r="K50" s="277">
        <f ca="1">INDEX(OFFSET('Baseline NFPC'!$D$1:$W$1,$D50-1,0),MATCH(K$4,'Baseline NFPC'!$D$10:$W$10,0))</f>
        <v>1.931333</v>
      </c>
      <c r="L50" s="277">
        <f ca="1">INDEX(OFFSET('Baseline NFPC'!$D$1:$W$1,$D50-1,0),MATCH(L$4,'Baseline NFPC'!$D$10:$W$10,0))</f>
        <v>1.931135</v>
      </c>
      <c r="M50" s="277">
        <f ca="1">INDEX(OFFSET('Baseline NFPC'!$D$1:$W$1,$D50-1,0),MATCH(M$4,'Baseline NFPC'!$D$10:$W$10,0))</f>
        <v>1.9756419999999999</v>
      </c>
      <c r="N50" s="277">
        <f ca="1">INDEX(OFFSET('Baseline NFPC'!$D$1:$W$1,$D50-1,0),MATCH(N$4,'Baseline NFPC'!$D$10:$W$10,0))</f>
        <v>1.8373889999999999</v>
      </c>
      <c r="O50" s="277">
        <f ca="1">INDEX(OFFSET('Baseline NFPC'!$D$1:$W$1,$D50-1,0),MATCH(O$4,'Baseline NFPC'!$D$10:$W$10,0))</f>
        <v>1.7429809999999999</v>
      </c>
      <c r="P50" s="277">
        <f ca="1">INDEX(OFFSET('Baseline NFPC'!$D$1:$W$1,$D50-1,0),MATCH(P$4,'Baseline NFPC'!$D$10:$W$10,0))</f>
        <v>1.6372230000000001</v>
      </c>
      <c r="Q50" s="277">
        <f ca="1">INDEX(OFFSET('Baseline NFPC'!$D$1:$W$1,$D50-1,0),MATCH(Q$4,'Baseline NFPC'!$D$10:$W$10,0))</f>
        <v>1.606185</v>
      </c>
      <c r="R50" s="277">
        <f ca="1">INDEX(OFFSET('Baseline NFPC'!$D$1:$W$1,$D50-1,0),MATCH(R$4,'Baseline NFPC'!$D$10:$W$10,0))</f>
        <v>1.6009679999999999</v>
      </c>
      <c r="S50" s="277">
        <f ca="1">INDEX(OFFSET('Baseline NFPC'!$D$1:$W$1,$D50-1,0),MATCH(S$4,'Baseline NFPC'!$D$10:$W$10,0))</f>
        <v>1.5957380000000001</v>
      </c>
      <c r="T50" s="277">
        <f ca="1">INDEX(OFFSET('Baseline NFPC'!$D$1:$W$1,$D50-1,0),MATCH(T$4,'Baseline NFPC'!$D$10:$W$10,0))</f>
        <v>1.590525</v>
      </c>
      <c r="U50" s="277">
        <f ca="1">INDEX(OFFSET('Baseline NFPC'!$D$1:$W$1,$D50-1,0),MATCH(U$4,'Baseline NFPC'!$D$10:$W$10,0))</f>
        <v>1.5116609999999999</v>
      </c>
      <c r="V50" s="277">
        <f ca="1">INDEX(OFFSET('Baseline NFPC'!$D$1:$W$1,$D50-1,0),MATCH(V$4,'Baseline NFPC'!$D$10:$W$10,0))</f>
        <v>1.4425760000000001</v>
      </c>
      <c r="W50" s="277">
        <f ca="1">INDEX(OFFSET('Baseline NFPC'!$D$1:$W$1,$D50-1,0),MATCH(W$4,'Baseline NFPC'!$D$10:$W$10,0))</f>
        <v>1.38703</v>
      </c>
      <c r="X50" s="277">
        <f ca="1">INDEX(OFFSET('Baseline NFPC'!$D$1:$W$1,$D50-1,0),MATCH(X$4,'Baseline NFPC'!$D$10:$W$10,0))</f>
        <v>1.3380289999999999</v>
      </c>
      <c r="Y50" s="191"/>
    </row>
    <row r="51" spans="1:25" x14ac:dyDescent="0.2">
      <c r="A51" s="191"/>
      <c r="B51" s="284">
        <v>11</v>
      </c>
      <c r="C51" s="293" t="s">
        <v>158</v>
      </c>
      <c r="D51" s="289">
        <v>41</v>
      </c>
      <c r="E51" s="290" t="s">
        <v>156</v>
      </c>
      <c r="F51" s="277">
        <f ca="1">INDEX(OFFSET('Baseline NFPC'!$D$1:$W$1,$D51-1,0),MATCH(F$4,'Baseline NFPC'!$D$10:$W$10,0))</f>
        <v>7.9842040000000001</v>
      </c>
      <c r="G51" s="277">
        <f ca="1">INDEX(OFFSET('Baseline NFPC'!$D$1:$W$1,$D51-1,0),MATCH(G$4,'Baseline NFPC'!$D$10:$W$10,0))</f>
        <v>4.782108</v>
      </c>
      <c r="H51" s="277">
        <f ca="1">INDEX(OFFSET('Baseline NFPC'!$D$1:$W$1,$D51-1,0),MATCH(H$4,'Baseline NFPC'!$D$10:$W$10,0))</f>
        <v>2.3179340000000002</v>
      </c>
      <c r="I51" s="277">
        <f ca="1">INDEX(OFFSET('Baseline NFPC'!$D$1:$W$1,$D51-1,0),MATCH(I$4,'Baseline NFPC'!$D$10:$W$10,0))</f>
        <v>2.7635109999999998</v>
      </c>
      <c r="J51" s="277">
        <f ca="1">INDEX(OFFSET('Baseline NFPC'!$D$1:$W$1,$D51-1,0),MATCH(J$4,'Baseline NFPC'!$D$10:$W$10,0))</f>
        <v>2.7118221249999999</v>
      </c>
      <c r="K51" s="277">
        <f ca="1">INDEX(OFFSET('Baseline NFPC'!$D$1:$W$1,$D51-1,0),MATCH(K$4,'Baseline NFPC'!$D$10:$W$10,0))</f>
        <v>2.6601332499999999</v>
      </c>
      <c r="L51" s="277">
        <f ca="1">INDEX(OFFSET('Baseline NFPC'!$D$1:$W$1,$D51-1,0),MATCH(L$4,'Baseline NFPC'!$D$10:$W$10,0))</f>
        <v>2.6084443749999999</v>
      </c>
      <c r="M51" s="277">
        <f ca="1">INDEX(OFFSET('Baseline NFPC'!$D$1:$W$1,$D51-1,0),MATCH(M$4,'Baseline NFPC'!$D$10:$W$10,0))</f>
        <v>2.5567555</v>
      </c>
      <c r="N51" s="277">
        <f ca="1">INDEX(OFFSET('Baseline NFPC'!$D$1:$W$1,$D51-1,0),MATCH(N$4,'Baseline NFPC'!$D$10:$W$10,0))</f>
        <v>2.505066625</v>
      </c>
      <c r="O51" s="277">
        <f ca="1">INDEX(OFFSET('Baseline NFPC'!$D$1:$W$1,$D51-1,0),MATCH(O$4,'Baseline NFPC'!$D$10:$W$10,0))</f>
        <v>2.45337775</v>
      </c>
      <c r="P51" s="277">
        <f ca="1">INDEX(OFFSET('Baseline NFPC'!$D$1:$W$1,$D51-1,0),MATCH(P$4,'Baseline NFPC'!$D$10:$W$10,0))</f>
        <v>2.4016888750000001</v>
      </c>
      <c r="Q51" s="277">
        <f ca="1">INDEX(OFFSET('Baseline NFPC'!$D$1:$W$1,$D51-1,0),MATCH(Q$4,'Baseline NFPC'!$D$10:$W$10,0))</f>
        <v>2.35</v>
      </c>
      <c r="R51" s="277">
        <f ca="1">INDEX(OFFSET('Baseline NFPC'!$D$1:$W$1,$D51-1,0),MATCH(R$4,'Baseline NFPC'!$D$10:$W$10,0))</f>
        <v>2.3325</v>
      </c>
      <c r="S51" s="277">
        <f ca="1">INDEX(OFFSET('Baseline NFPC'!$D$1:$W$1,$D51-1,0),MATCH(S$4,'Baseline NFPC'!$D$10:$W$10,0))</f>
        <v>2.3149999999999999</v>
      </c>
      <c r="T51" s="277">
        <f ca="1">INDEX(OFFSET('Baseline NFPC'!$D$1:$W$1,$D51-1,0),MATCH(T$4,'Baseline NFPC'!$D$10:$W$10,0))</f>
        <v>2.2974999999999999</v>
      </c>
      <c r="U51" s="277">
        <f ca="1">INDEX(OFFSET('Baseline NFPC'!$D$1:$W$1,$D51-1,0),MATCH(U$4,'Baseline NFPC'!$D$10:$W$10,0))</f>
        <v>2.2800000000000002</v>
      </c>
      <c r="V51" s="277">
        <f ca="1">INDEX(OFFSET('Baseline NFPC'!$D$1:$W$1,$D51-1,0),MATCH(V$4,'Baseline NFPC'!$D$10:$W$10,0))</f>
        <v>2.2625000000000002</v>
      </c>
      <c r="W51" s="277">
        <f ca="1">INDEX(OFFSET('Baseline NFPC'!$D$1:$W$1,$D51-1,0),MATCH(W$4,'Baseline NFPC'!$D$10:$W$10,0))</f>
        <v>2.2450000000000001</v>
      </c>
      <c r="X51" s="277">
        <f ca="1">INDEX(OFFSET('Baseline NFPC'!$D$1:$W$1,$D51-1,0),MATCH(X$4,'Baseline NFPC'!$D$10:$W$10,0))</f>
        <v>2.2275</v>
      </c>
      <c r="Y51" s="191"/>
    </row>
    <row r="52" spans="1:25" x14ac:dyDescent="0.2">
      <c r="A52" s="191"/>
      <c r="B52" s="284">
        <v>12</v>
      </c>
      <c r="C52" s="280" t="s">
        <v>159</v>
      </c>
      <c r="D52" s="289">
        <v>32</v>
      </c>
      <c r="E52" s="290" t="s">
        <v>156</v>
      </c>
      <c r="F52" s="277">
        <f ca="1">INDEX(OFFSET('Baseline NFPC'!$D$1:$W$1,$D52-1,0),MATCH(F$4,'Baseline NFPC'!$D$10:$W$10,0))</f>
        <v>10.02167371759688</v>
      </c>
      <c r="G52" s="277">
        <f ca="1">INDEX(OFFSET('Baseline NFPC'!$D$1:$W$1,$D52-1,0),MATCH(G$4,'Baseline NFPC'!$D$10:$W$10,0))</f>
        <v>7.3090364599912583</v>
      </c>
      <c r="H52" s="277">
        <f ca="1">INDEX(OFFSET('Baseline NFPC'!$D$1:$W$1,$D52-1,0),MATCH(H$4,'Baseline NFPC'!$D$10:$W$10,0))</f>
        <v>5.0887435567142703</v>
      </c>
      <c r="I52" s="277">
        <f ca="1">INDEX(OFFSET('Baseline NFPC'!$D$1:$W$1,$D52-1,0),MATCH(I$4,'Baseline NFPC'!$D$10:$W$10,0))</f>
        <v>5.747001881823488</v>
      </c>
      <c r="J52" s="277">
        <f ca="1">INDEX(OFFSET('Baseline NFPC'!$D$1:$W$1,$D52-1,0),MATCH(J$4,'Baseline NFPC'!$D$10:$W$10,0))</f>
        <v>4.9982222075220406</v>
      </c>
      <c r="K52" s="277">
        <f ca="1">INDEX(OFFSET('Baseline NFPC'!$D$1:$W$1,$D52-1,0),MATCH(K$4,'Baseline NFPC'!$D$10:$W$10,0))</f>
        <v>4.6428422813012293</v>
      </c>
      <c r="L52" s="277">
        <f ca="1">INDEX(OFFSET('Baseline NFPC'!$D$1:$W$1,$D52-1,0),MATCH(L$4,'Baseline NFPC'!$D$10:$W$10,0))</f>
        <v>4.5899519572811576</v>
      </c>
      <c r="M52" s="277">
        <f ca="1">INDEX(OFFSET('Baseline NFPC'!$D$1:$W$1,$D52-1,0),MATCH(M$4,'Baseline NFPC'!$D$10:$W$10,0))</f>
        <v>4.5829098354953191</v>
      </c>
      <c r="N52" s="277">
        <f ca="1">INDEX(OFFSET('Baseline NFPC'!$D$1:$W$1,$D52-1,0),MATCH(N$4,'Baseline NFPC'!$D$10:$W$10,0))</f>
        <v>4.3884834436104248</v>
      </c>
      <c r="O52" s="277">
        <f ca="1">INDEX(OFFSET('Baseline NFPC'!$D$1:$W$1,$D52-1,0),MATCH(O$4,'Baseline NFPC'!$D$10:$W$10,0))</f>
        <v>4.2391206580407514</v>
      </c>
      <c r="P52" s="277">
        <f ca="1">INDEX(OFFSET('Baseline NFPC'!$D$1:$W$1,$D52-1,0),MATCH(P$4,'Baseline NFPC'!$D$10:$W$10,0))</f>
        <v>4.0782328776499455</v>
      </c>
      <c r="Q52" s="277">
        <f ca="1">INDEX(OFFSET('Baseline NFPC'!$D$1:$W$1,$D52-1,0),MATCH(Q$4,'Baseline NFPC'!$D$10:$W$10,0))</f>
        <v>3.9939303475000187</v>
      </c>
      <c r="R52" s="277">
        <f ca="1">INDEX(OFFSET('Baseline NFPC'!$D$1:$W$1,$D52-1,0),MATCH(R$4,'Baseline NFPC'!$D$10:$W$10,0))</f>
        <v>3.9708105786000036</v>
      </c>
      <c r="S52" s="277">
        <f ca="1">INDEX(OFFSET('Baseline NFPC'!$D$1:$W$1,$D52-1,0),MATCH(S$4,'Baseline NFPC'!$D$10:$W$10,0))</f>
        <v>3.9476793346999939</v>
      </c>
      <c r="T52" s="277">
        <f ca="1">INDEX(OFFSET('Baseline NFPC'!$D$1:$W$1,$D52-1,0),MATCH(T$4,'Baseline NFPC'!$D$10:$W$10,0))</f>
        <v>3.9245673118750046</v>
      </c>
      <c r="U52" s="277">
        <f ca="1">INDEX(OFFSET('Baseline NFPC'!$D$1:$W$1,$D52-1,0),MATCH(U$4,'Baseline NFPC'!$D$10:$W$10,0))</f>
        <v>3.8261268707999951</v>
      </c>
      <c r="V52" s="277">
        <f ca="1">INDEX(OFFSET('Baseline NFPC'!$D$1:$W$1,$D52-1,0),MATCH(V$4,'Baseline NFPC'!$D$10:$W$10,0))</f>
        <v>3.737714281999982</v>
      </c>
      <c r="W52" s="277">
        <f ca="1">INDEX(OFFSET('Baseline NFPC'!$D$1:$W$1,$D52-1,0),MATCH(W$4,'Baseline NFPC'!$D$10:$W$10,0))</f>
        <v>3.6631688235000182</v>
      </c>
      <c r="X52" s="277">
        <f ca="1">INDEX(OFFSET('Baseline NFPC'!$D$1:$W$1,$D52-1,0),MATCH(X$4,'Baseline NFPC'!$D$10:$W$10,0))</f>
        <v>3.5953335959749921</v>
      </c>
      <c r="Y52" s="191"/>
    </row>
    <row r="53" spans="1:25" x14ac:dyDescent="0.2">
      <c r="A53" s="191"/>
      <c r="B53" s="284">
        <v>13</v>
      </c>
      <c r="C53" s="280" t="s">
        <v>46</v>
      </c>
      <c r="D53" s="279"/>
      <c r="E53" s="290" t="s">
        <v>153</v>
      </c>
      <c r="F53" s="296">
        <f>'Input data'!$C$49</f>
        <v>0.75</v>
      </c>
      <c r="G53" s="191"/>
      <c r="H53" s="191"/>
      <c r="I53" s="191"/>
      <c r="J53" s="191"/>
      <c r="K53" s="191"/>
      <c r="L53" s="191"/>
      <c r="M53" s="191"/>
      <c r="N53" s="191"/>
      <c r="O53" s="191"/>
      <c r="P53" s="191"/>
      <c r="Q53" s="191"/>
      <c r="R53" s="191"/>
      <c r="S53" s="191"/>
      <c r="T53" s="191"/>
      <c r="U53" s="191"/>
      <c r="V53" s="191"/>
      <c r="W53" s="191"/>
      <c r="X53" s="191"/>
      <c r="Y53" s="191"/>
    </row>
    <row r="54" spans="1:25" x14ac:dyDescent="0.2">
      <c r="A54" s="191"/>
      <c r="B54" s="278"/>
      <c r="C54" s="299"/>
      <c r="D54" s="299"/>
      <c r="E54" s="299"/>
      <c r="F54" s="299"/>
      <c r="G54" s="299"/>
      <c r="H54" s="299"/>
      <c r="I54" s="299"/>
      <c r="J54" s="299"/>
      <c r="K54" s="191"/>
      <c r="L54" s="191"/>
      <c r="M54" s="191"/>
      <c r="N54" s="191"/>
      <c r="O54" s="191"/>
      <c r="P54" s="191"/>
      <c r="Q54" s="191"/>
      <c r="R54" s="191"/>
      <c r="S54" s="191"/>
      <c r="T54" s="191"/>
      <c r="U54" s="191"/>
      <c r="V54" s="191"/>
      <c r="W54" s="191"/>
      <c r="X54" s="191"/>
      <c r="Y54" s="191"/>
    </row>
    <row r="55" spans="1:25" x14ac:dyDescent="0.2">
      <c r="A55" s="191"/>
      <c r="B55" s="300"/>
      <c r="C55" s="282" t="s">
        <v>165</v>
      </c>
      <c r="D55" s="283"/>
      <c r="E55" s="283"/>
      <c r="F55" s="283"/>
      <c r="G55" s="299"/>
      <c r="H55" s="299"/>
      <c r="I55" s="299"/>
      <c r="J55" s="299"/>
      <c r="K55" s="191"/>
      <c r="L55" s="191"/>
      <c r="M55" s="191"/>
      <c r="N55" s="191"/>
      <c r="O55" s="191"/>
      <c r="P55" s="191"/>
      <c r="Q55" s="191"/>
      <c r="R55" s="191"/>
      <c r="S55" s="191"/>
      <c r="T55" s="191"/>
      <c r="U55" s="191"/>
      <c r="V55" s="191"/>
      <c r="W55" s="191"/>
      <c r="X55" s="191"/>
      <c r="Y55" s="191"/>
    </row>
    <row r="56" spans="1:25" x14ac:dyDescent="0.2">
      <c r="A56" s="191"/>
      <c r="B56" s="278"/>
      <c r="C56" s="299"/>
      <c r="D56" s="299"/>
      <c r="E56" s="299"/>
      <c r="F56" s="299"/>
      <c r="G56" s="299"/>
      <c r="H56" s="299"/>
      <c r="I56" s="299"/>
      <c r="J56" s="299"/>
      <c r="K56" s="191"/>
      <c r="L56" s="191"/>
      <c r="M56" s="191"/>
      <c r="N56" s="191"/>
      <c r="O56" s="191"/>
      <c r="P56" s="191"/>
      <c r="Q56" s="191"/>
      <c r="R56" s="191"/>
      <c r="S56" s="191"/>
      <c r="T56" s="191"/>
      <c r="U56" s="191"/>
      <c r="V56" s="191"/>
      <c r="W56" s="191"/>
      <c r="X56" s="191"/>
      <c r="Y56" s="191"/>
    </row>
    <row r="57" spans="1:25" x14ac:dyDescent="0.2">
      <c r="A57" s="191"/>
      <c r="B57" s="284"/>
      <c r="C57" s="282"/>
      <c r="D57" s="282"/>
      <c r="E57" s="287"/>
      <c r="F57" s="287">
        <f>'Input data'!$C$5-1</f>
        <v>2023</v>
      </c>
      <c r="G57" s="287">
        <f>F57+1</f>
        <v>2024</v>
      </c>
      <c r="H57" s="287">
        <f t="shared" ref="H57:X57" si="2">G57+1</f>
        <v>2025</v>
      </c>
      <c r="I57" s="287">
        <f t="shared" si="2"/>
        <v>2026</v>
      </c>
      <c r="J57" s="287">
        <f t="shared" si="2"/>
        <v>2027</v>
      </c>
      <c r="K57" s="287">
        <f t="shared" si="2"/>
        <v>2028</v>
      </c>
      <c r="L57" s="287">
        <f t="shared" si="2"/>
        <v>2029</v>
      </c>
      <c r="M57" s="287">
        <f t="shared" si="2"/>
        <v>2030</v>
      </c>
      <c r="N57" s="287">
        <f t="shared" si="2"/>
        <v>2031</v>
      </c>
      <c r="O57" s="287">
        <f t="shared" si="2"/>
        <v>2032</v>
      </c>
      <c r="P57" s="287">
        <f t="shared" si="2"/>
        <v>2033</v>
      </c>
      <c r="Q57" s="287">
        <f t="shared" si="2"/>
        <v>2034</v>
      </c>
      <c r="R57" s="287">
        <f t="shared" si="2"/>
        <v>2035</v>
      </c>
      <c r="S57" s="287">
        <f t="shared" si="2"/>
        <v>2036</v>
      </c>
      <c r="T57" s="287">
        <f t="shared" si="2"/>
        <v>2037</v>
      </c>
      <c r="U57" s="287">
        <f t="shared" si="2"/>
        <v>2038</v>
      </c>
      <c r="V57" s="287">
        <f t="shared" si="2"/>
        <v>2039</v>
      </c>
      <c r="W57" s="287">
        <f t="shared" si="2"/>
        <v>2040</v>
      </c>
      <c r="X57" s="287">
        <f t="shared" si="2"/>
        <v>2041</v>
      </c>
      <c r="Y57" s="191"/>
    </row>
    <row r="58" spans="1:25" x14ac:dyDescent="0.2">
      <c r="A58" s="191"/>
      <c r="B58" s="284">
        <v>1</v>
      </c>
      <c r="C58" s="288" t="s">
        <v>146</v>
      </c>
      <c r="D58" s="289">
        <v>90</v>
      </c>
      <c r="E58" s="290" t="s">
        <v>147</v>
      </c>
      <c r="F58" s="277">
        <f ca="1">INDEX(OFFSET('Adjustment scenario'!$D$1:$W$1,$D58-1,0),MATCH(F$4,'Adjustment scenario'!$D$10:$W$10,0))</f>
        <v>22.884294685123706</v>
      </c>
      <c r="G58" s="277">
        <f ca="1">INDEX(OFFSET('Adjustment scenario'!$D$1:$W$1,$D58-1,0),MATCH(G$4,'Adjustment scenario'!$D$10:$W$10,0))</f>
        <v>24.494983925203403</v>
      </c>
      <c r="H58" s="277">
        <f ca="1">INDEX(OFFSET('Adjustment scenario'!$D$1:$W$1,$D58-1,0),MATCH(H$4,'Adjustment scenario'!$D$10:$W$10,0))</f>
        <v>22.747717675958448</v>
      </c>
      <c r="I58" s="277">
        <f ca="1">INDEX(OFFSET('Adjustment scenario'!$D$1:$W$1,$D58-1,0),MATCH(I$4,'Adjustment scenario'!$D$10:$W$10,0))</f>
        <v>23.210824555394129</v>
      </c>
      <c r="J58" s="277">
        <f ca="1">INDEX(OFFSET('Adjustment scenario'!$D$1:$W$1,$D58-1,0),MATCH(J$4,'Adjustment scenario'!$D$10:$W$10,0))</f>
        <v>23.707527504109773</v>
      </c>
      <c r="K58" s="277">
        <f ca="1">INDEX(OFFSET('Adjustment scenario'!$D$1:$W$1,$D58-1,0),MATCH(K$4,'Adjustment scenario'!$D$10:$W$10,0))</f>
        <v>24.193634378624548</v>
      </c>
      <c r="L58" s="277">
        <f ca="1">INDEX(OFFSET('Adjustment scenario'!$D$1:$W$1,$D58-1,0),MATCH(L$4,'Adjustment scenario'!$D$10:$W$10,0))</f>
        <v>24.565835114852135</v>
      </c>
      <c r="M58" s="277">
        <f ca="1">INDEX(OFFSET('Adjustment scenario'!$D$1:$W$1,$D58-1,0),MATCH(M$4,'Adjustment scenario'!$D$10:$W$10,0))</f>
        <v>24.914868797085866</v>
      </c>
      <c r="N58" s="277">
        <f ca="1">INDEX(OFFSET('Adjustment scenario'!$D$1:$W$1,$D58-1,0),MATCH(N$4,'Adjustment scenario'!$D$10:$W$10,0))</f>
        <v>25.245044691584489</v>
      </c>
      <c r="O58" s="277">
        <f ca="1">INDEX(OFFSET('Adjustment scenario'!$D$1:$W$1,$D58-1,0),MATCH(O$4,'Adjustment scenario'!$D$10:$W$10,0))</f>
        <v>25.582017899106834</v>
      </c>
      <c r="P58" s="277">
        <f ca="1">INDEX(OFFSET('Adjustment scenario'!$D$1:$W$1,$D58-1,0),MATCH(P$4,'Adjustment scenario'!$D$10:$W$10,0))</f>
        <v>25.90598078094083</v>
      </c>
      <c r="Q58" s="277">
        <f ca="1">INDEX(OFFSET('Adjustment scenario'!$D$1:$W$1,$D58-1,0),MATCH(Q$4,'Adjustment scenario'!$D$10:$W$10,0))</f>
        <v>26.205283976350991</v>
      </c>
      <c r="R58" s="277">
        <f ca="1">INDEX(OFFSET('Adjustment scenario'!$D$1:$W$1,$D58-1,0),MATCH(R$4,'Adjustment scenario'!$D$10:$W$10,0))</f>
        <v>26.461844139629289</v>
      </c>
      <c r="S58" s="277">
        <f ca="1">INDEX(OFFSET('Adjustment scenario'!$D$1:$W$1,$D58-1,0),MATCH(S$4,'Adjustment scenario'!$D$10:$W$10,0))</f>
        <v>26.678360041735491</v>
      </c>
      <c r="T58" s="277">
        <f ca="1">INDEX(OFFSET('Adjustment scenario'!$D$1:$W$1,$D58-1,0),MATCH(T$4,'Adjustment scenario'!$D$10:$W$10,0))</f>
        <v>26.846340601235283</v>
      </c>
      <c r="U58" s="277">
        <f ca="1">INDEX(OFFSET('Adjustment scenario'!$D$1:$W$1,$D58-1,0),MATCH(U$4,'Adjustment scenario'!$D$10:$W$10,0))</f>
        <v>26.989702444357249</v>
      </c>
      <c r="V58" s="277">
        <f ca="1">INDEX(OFFSET('Adjustment scenario'!$D$1:$W$1,$D58-1,0),MATCH(V$4,'Adjustment scenario'!$D$10:$W$10,0))</f>
        <v>27.128704428741244</v>
      </c>
      <c r="W58" s="277">
        <f ca="1">INDEX(OFFSET('Adjustment scenario'!$D$1:$W$1,$D58-1,0),MATCH(W$4,'Adjustment scenario'!$D$10:$W$10,0))</f>
        <v>27.269038880684747</v>
      </c>
      <c r="X58" s="277">
        <f ca="1">INDEX(OFFSET('Adjustment scenario'!$D$1:$W$1,$D58-1,0),MATCH(X$4,'Adjustment scenario'!$D$10:$W$10,0))</f>
        <v>27.443892010871579</v>
      </c>
      <c r="Y58" s="191"/>
    </row>
    <row r="59" spans="1:25" x14ac:dyDescent="0.2">
      <c r="A59" s="191"/>
      <c r="B59" s="284">
        <f>B58+1</f>
        <v>2</v>
      </c>
      <c r="C59" s="291" t="s">
        <v>97</v>
      </c>
      <c r="D59" s="289">
        <v>92</v>
      </c>
      <c r="E59" s="290" t="s">
        <v>147</v>
      </c>
      <c r="F59" s="277">
        <f ca="1">INDEX(OFFSET('Adjustment scenario'!$D$1:$W$1,$D59-1,0),MATCH(F$4,'Adjustment scenario'!$D$10:$W$10,0))</f>
        <v>1.4889803048403729</v>
      </c>
      <c r="G59" s="277">
        <f ca="1">INDEX(OFFSET('Adjustment scenario'!$D$1:$W$1,$D59-1,0),MATCH(G$4,'Adjustment scenario'!$D$10:$W$10,0))</f>
        <v>1.7185051439948933</v>
      </c>
      <c r="H59" s="277">
        <f ca="1">INDEX(OFFSET('Adjustment scenario'!$D$1:$W$1,$D59-1,0),MATCH(H$4,'Adjustment scenario'!$D$10:$W$10,0))</f>
        <v>1.2006573086178434</v>
      </c>
      <c r="I59" s="277">
        <f ca="1">INDEX(OFFSET('Adjustment scenario'!$D$1:$W$1,$D59-1,0),MATCH(I$4,'Adjustment scenario'!$D$10:$W$10,0))</f>
        <v>1.6348832975475562</v>
      </c>
      <c r="J59" s="277">
        <f ca="1">INDEX(OFFSET('Adjustment scenario'!$D$1:$W$1,$D59-1,0),MATCH(J$4,'Adjustment scenario'!$D$10:$W$10,0))</f>
        <v>1.6266062187268389</v>
      </c>
      <c r="K59" s="277">
        <f ca="1">INDEX(OFFSET('Adjustment scenario'!$D$1:$W$1,$D59-1,0),MATCH(K$4,'Adjustment scenario'!$D$10:$W$10,0))</f>
        <v>1.607172307463095</v>
      </c>
      <c r="L59" s="277">
        <f ca="1">INDEX(OFFSET('Adjustment scenario'!$D$1:$W$1,$D59-1,0),MATCH(L$4,'Adjustment scenario'!$D$10:$W$10,0))</f>
        <v>1.5864921063265847</v>
      </c>
      <c r="M59" s="277">
        <f ca="1">INDEX(OFFSET('Adjustment scenario'!$D$1:$W$1,$D59-1,0),MATCH(M$4,'Adjustment scenario'!$D$10:$W$10,0))</f>
        <v>1.5585016012464565</v>
      </c>
      <c r="N59" s="277">
        <f ca="1">INDEX(OFFSET('Adjustment scenario'!$D$1:$W$1,$D59-1,0),MATCH(N$4,'Adjustment scenario'!$D$10:$W$10,0))</f>
        <v>1.5272190740669898</v>
      </c>
      <c r="O59" s="277">
        <f ca="1">INDEX(OFFSET('Adjustment scenario'!$D$1:$W$1,$D59-1,0),MATCH(O$4,'Adjustment scenario'!$D$10:$W$10,0))</f>
        <v>1.4933865243458886</v>
      </c>
      <c r="P59" s="277">
        <f ca="1">INDEX(OFFSET('Adjustment scenario'!$D$1:$W$1,$D59-1,0),MATCH(P$4,'Adjustment scenario'!$D$10:$W$10,0))</f>
        <v>1.4576102012370293</v>
      </c>
      <c r="Q59" s="277">
        <f ca="1">INDEX(OFFSET('Adjustment scenario'!$D$1:$W$1,$D59-1,0),MATCH(Q$4,'Adjustment scenario'!$D$10:$W$10,0))</f>
        <v>1.4184488133554181</v>
      </c>
      <c r="R59" s="277">
        <f ca="1">INDEX(OFFSET('Adjustment scenario'!$D$1:$W$1,$D59-1,0),MATCH(R$4,'Adjustment scenario'!$D$10:$W$10,0))</f>
        <v>1.4350800636631706</v>
      </c>
      <c r="S59" s="277">
        <f ca="1">INDEX(OFFSET('Adjustment scenario'!$D$1:$W$1,$D59-1,0),MATCH(S$4,'Adjustment scenario'!$D$10:$W$10,0))</f>
        <v>1.4493825437166488</v>
      </c>
      <c r="T59" s="277">
        <f ca="1">INDEX(OFFSET('Adjustment scenario'!$D$1:$W$1,$D59-1,0),MATCH(T$4,'Adjustment scenario'!$D$10:$W$10,0))</f>
        <v>1.4615018584285071</v>
      </c>
      <c r="U59" s="277">
        <f ca="1">INDEX(OFFSET('Adjustment scenario'!$D$1:$W$1,$D59-1,0),MATCH(U$4,'Adjustment scenario'!$D$10:$W$10,0))</f>
        <v>1.47203909247743</v>
      </c>
      <c r="V59" s="277">
        <f ca="1">INDEX(OFFSET('Adjustment scenario'!$D$1:$W$1,$D59-1,0),MATCH(V$4,'Adjustment scenario'!$D$10:$W$10,0))</f>
        <v>1.4811062762028129</v>
      </c>
      <c r="W59" s="277">
        <f ca="1">INDEX(OFFSET('Adjustment scenario'!$D$1:$W$1,$D59-1,0),MATCH(W$4,'Adjustment scenario'!$D$10:$W$10,0))</f>
        <v>1.4897531586014654</v>
      </c>
      <c r="X59" s="277">
        <f ca="1">INDEX(OFFSET('Adjustment scenario'!$D$1:$W$1,$D59-1,0),MATCH(X$4,'Adjustment scenario'!$D$10:$W$10,0))</f>
        <v>1.4983910569870185</v>
      </c>
      <c r="Y59" s="191"/>
    </row>
    <row r="60" spans="1:25" x14ac:dyDescent="0.2">
      <c r="A60" s="191"/>
      <c r="B60" s="284">
        <f t="shared" ref="B60:B62" si="3">B59+1</f>
        <v>3</v>
      </c>
      <c r="C60" s="291" t="s">
        <v>98</v>
      </c>
      <c r="D60" s="289">
        <v>93</v>
      </c>
      <c r="E60" s="290" t="s">
        <v>147</v>
      </c>
      <c r="F60" s="277">
        <f ca="1">INDEX(OFFSET('Adjustment scenario'!$D$1:$W$1,$D60-1,0),MATCH(F$4,'Adjustment scenario'!$D$10:$W$10,0))</f>
        <v>0</v>
      </c>
      <c r="G60" s="277">
        <f ca="1">INDEX(OFFSET('Adjustment scenario'!$D$1:$W$1,$D60-1,0),MATCH(G$4,'Adjustment scenario'!$D$10:$W$10,0))</f>
        <v>0</v>
      </c>
      <c r="H60" s="277">
        <f ca="1">INDEX(OFFSET('Adjustment scenario'!$D$1:$W$1,$D60-1,0),MATCH(H$4,'Adjustment scenario'!$D$10:$W$10,0))</f>
        <v>3.8224703293380986E-3</v>
      </c>
      <c r="I60" s="277">
        <f ca="1">INDEX(OFFSET('Adjustment scenario'!$D$1:$W$1,$D60-1,0),MATCH(I$4,'Adjustment scenario'!$D$10:$W$10,0))</f>
        <v>3.6217218432353904E-3</v>
      </c>
      <c r="J60" s="277">
        <f ca="1">INDEX(OFFSET('Adjustment scenario'!$D$1:$W$1,$D60-1,0),MATCH(J$4,'Adjustment scenario'!$D$10:$W$10,0))</f>
        <v>6.4955966357620387E-3</v>
      </c>
      <c r="K60" s="277">
        <f ca="1">INDEX(OFFSET('Adjustment scenario'!$D$1:$W$1,$D60-1,0),MATCH(K$4,'Adjustment scenario'!$D$10:$W$10,0))</f>
        <v>9.0755562197095997E-3</v>
      </c>
      <c r="L60" s="277">
        <f ca="1">INDEX(OFFSET('Adjustment scenario'!$D$1:$W$1,$D60-1,0),MATCH(L$4,'Adjustment scenario'!$D$10:$W$10,0))</f>
        <v>1.1583291312571643E-2</v>
      </c>
      <c r="M60" s="277">
        <f ca="1">INDEX(OFFSET('Adjustment scenario'!$D$1:$W$1,$D60-1,0),MATCH(M$4,'Adjustment scenario'!$D$10:$W$10,0))</f>
        <v>1.3809765185698904E-2</v>
      </c>
      <c r="N60" s="277">
        <f ca="1">INDEX(OFFSET('Adjustment scenario'!$D$1:$W$1,$D60-1,0),MATCH(N$4,'Adjustment scenario'!$D$10:$W$10,0))</f>
        <v>1.5872972899532916E-2</v>
      </c>
      <c r="O60" s="277">
        <f ca="1">INDEX(OFFSET('Adjustment scenario'!$D$1:$W$1,$D60-1,0),MATCH(O$4,'Adjustment scenario'!$D$10:$W$10,0))</f>
        <v>1.7796423542652304E-2</v>
      </c>
      <c r="P60" s="277">
        <f ca="1">INDEX(OFFSET('Adjustment scenario'!$D$1:$W$1,$D60-1,0),MATCH(P$4,'Adjustment scenario'!$D$10:$W$10,0))</f>
        <v>1.9619884428428498E-2</v>
      </c>
      <c r="Q60" s="277">
        <f ca="1">INDEX(OFFSET('Adjustment scenario'!$D$1:$W$1,$D60-1,0),MATCH(Q$4,'Adjustment scenario'!$D$10:$W$10,0))</f>
        <v>2.132031410622574E-2</v>
      </c>
      <c r="R60" s="277">
        <f ca="1">INDEX(OFFSET('Adjustment scenario'!$D$1:$W$1,$D60-1,0),MATCH(R$4,'Adjustment scenario'!$D$10:$W$10,0))</f>
        <v>2.2901061050869094E-2</v>
      </c>
      <c r="S60" s="277">
        <f ca="1">INDEX(OFFSET('Adjustment scenario'!$D$1:$W$1,$D60-1,0),MATCH(S$4,'Adjustment scenario'!$D$10:$W$10,0))</f>
        <v>2.4358661456699033E-2</v>
      </c>
      <c r="T60" s="277">
        <f ca="1">INDEX(OFFSET('Adjustment scenario'!$D$1:$W$1,$D60-1,0),MATCH(T$4,'Adjustment scenario'!$D$10:$W$10,0))</f>
        <v>2.5700154126528627E-2</v>
      </c>
      <c r="U60" s="277">
        <f ca="1">INDEX(OFFSET('Adjustment scenario'!$D$1:$W$1,$D60-1,0),MATCH(U$4,'Adjustment scenario'!$D$10:$W$10,0))</f>
        <v>2.6931297894055132E-2</v>
      </c>
      <c r="V60" s="277">
        <f ca="1">INDEX(OFFSET('Adjustment scenario'!$D$1:$W$1,$D60-1,0),MATCH(V$4,'Adjustment scenario'!$D$10:$W$10,0))</f>
        <v>2.8061715484698248E-2</v>
      </c>
      <c r="W60" s="277">
        <f ca="1">INDEX(OFFSET('Adjustment scenario'!$D$1:$W$1,$D60-1,0),MATCH(W$4,'Adjustment scenario'!$D$10:$W$10,0))</f>
        <v>2.9132960611524806E-2</v>
      </c>
      <c r="X60" s="277">
        <f ca="1">INDEX(OFFSET('Adjustment scenario'!$D$1:$W$1,$D60-1,0),MATCH(X$4,'Adjustment scenario'!$D$10:$W$10,0))</f>
        <v>3.0162953958167794E-2</v>
      </c>
      <c r="Y60" s="191"/>
    </row>
    <row r="61" spans="1:25" x14ac:dyDescent="0.2">
      <c r="A61" s="191"/>
      <c r="B61" s="284">
        <f t="shared" si="3"/>
        <v>4</v>
      </c>
      <c r="C61" s="291" t="s">
        <v>99</v>
      </c>
      <c r="D61" s="289">
        <v>94</v>
      </c>
      <c r="E61" s="290" t="s">
        <v>147</v>
      </c>
      <c r="F61" s="277">
        <f ca="1">INDEX(OFFSET('Adjustment scenario'!$D$1:$W$1,$D61-1,0),MATCH(F$4,'Adjustment scenario'!$D$10:$W$10,0))</f>
        <v>2.4522645020544749</v>
      </c>
      <c r="G61" s="277">
        <f ca="1">INDEX(OFFSET('Adjustment scenario'!$D$1:$W$1,$D61-1,0),MATCH(G$4,'Adjustment scenario'!$D$10:$W$10,0))</f>
        <v>3.1637745578569554</v>
      </c>
      <c r="H61" s="277">
        <f ca="1">INDEX(OFFSET('Adjustment scenario'!$D$1:$W$1,$D61-1,0),MATCH(H$4,'Adjustment scenario'!$D$10:$W$10,0))</f>
        <v>0</v>
      </c>
      <c r="I61" s="277">
        <f ca="1">INDEX(OFFSET('Adjustment scenario'!$D$1:$W$1,$D61-1,0),MATCH(I$4,'Adjustment scenario'!$D$10:$W$10,0))</f>
        <v>1.654581900675802</v>
      </c>
      <c r="J61" s="277">
        <f ca="1">INDEX(OFFSET('Adjustment scenario'!$D$1:$W$1,$D61-1,0),MATCH(J$4,'Adjustment scenario'!$D$10:$W$10,0))</f>
        <v>1.5694138542292866</v>
      </c>
      <c r="K61" s="277">
        <f ca="1">INDEX(OFFSET('Adjustment scenario'!$D$1:$W$1,$D61-1,0),MATCH(K$4,'Adjustment scenario'!$D$10:$W$10,0))</f>
        <v>1.5921319356932642</v>
      </c>
      <c r="L61" s="277">
        <f ca="1">INDEX(OFFSET('Adjustment scenario'!$D$1:$W$1,$D61-1,0),MATCH(L$4,'Adjustment scenario'!$D$10:$W$10,0))</f>
        <v>1.4877671747198153</v>
      </c>
      <c r="M61" s="277">
        <f ca="1">INDEX(OFFSET('Adjustment scenario'!$D$1:$W$1,$D61-1,0),MATCH(M$4,'Adjustment scenario'!$D$10:$W$10,0))</f>
        <v>1.436768874628916</v>
      </c>
      <c r="N61" s="277">
        <f ca="1">INDEX(OFFSET('Adjustment scenario'!$D$1:$W$1,$D61-1,0),MATCH(N$4,'Adjustment scenario'!$D$10:$W$10,0))</f>
        <v>1.3891425688361769</v>
      </c>
      <c r="O61" s="277">
        <f ca="1">INDEX(OFFSET('Adjustment scenario'!$D$1:$W$1,$D61-1,0),MATCH(O$4,'Adjustment scenario'!$D$10:$W$10,0))</f>
        <v>1.3609966975996033</v>
      </c>
      <c r="P61" s="277">
        <f ca="1">INDEX(OFFSET('Adjustment scenario'!$D$1:$W$1,$D61-1,0),MATCH(P$4,'Adjustment scenario'!$D$10:$W$10,0))</f>
        <v>1.3238244411559299</v>
      </c>
      <c r="Q61" s="277">
        <f ca="1">INDEX(OFFSET('Adjustment scenario'!$D$1:$W$1,$D61-1,0),MATCH(Q$4,'Adjustment scenario'!$D$10:$W$10,0))</f>
        <v>1.2917431070781347</v>
      </c>
      <c r="R61" s="277">
        <f ca="1">INDEX(OFFSET('Adjustment scenario'!$D$1:$W$1,$D61-1,0),MATCH(R$4,'Adjustment scenario'!$D$10:$W$10,0))</f>
        <v>1.2549624247583437</v>
      </c>
      <c r="S61" s="277">
        <f ca="1">INDEX(OFFSET('Adjustment scenario'!$D$1:$W$1,$D61-1,0),MATCH(S$4,'Adjustment scenario'!$D$10:$W$10,0))</f>
        <v>1.2191220900721249</v>
      </c>
      <c r="T61" s="277">
        <f ca="1">INDEX(OFFSET('Adjustment scenario'!$D$1:$W$1,$D61-1,0),MATCH(T$4,'Adjustment scenario'!$D$10:$W$10,0))</f>
        <v>1.1731902980221955</v>
      </c>
      <c r="U61" s="277">
        <f ca="1">INDEX(OFFSET('Adjustment scenario'!$D$1:$W$1,$D61-1,0),MATCH(U$4,'Adjustment scenario'!$D$10:$W$10,0))</f>
        <v>1.1305048830660505</v>
      </c>
      <c r="V61" s="277">
        <f ca="1">INDEX(OFFSET('Adjustment scenario'!$D$1:$W$1,$D61-1,0),MATCH(V$4,'Adjustment scenario'!$D$10:$W$10,0))</f>
        <v>1.1093140899320821</v>
      </c>
      <c r="W61" s="277">
        <f ca="1">INDEX(OFFSET('Adjustment scenario'!$D$1:$W$1,$D61-1,0),MATCH(W$4,'Adjustment scenario'!$D$10:$W$10,0))</f>
        <v>1.0968731589794749</v>
      </c>
      <c r="X61" s="277">
        <f ca="1">INDEX(OFFSET('Adjustment scenario'!$D$1:$W$1,$D61-1,0),MATCH(X$4,'Adjustment scenario'!$D$10:$W$10,0))</f>
        <v>1.1190830052407137</v>
      </c>
      <c r="Y61" s="191"/>
    </row>
    <row r="62" spans="1:25" x14ac:dyDescent="0.2">
      <c r="A62" s="191"/>
      <c r="B62" s="284">
        <f t="shared" si="3"/>
        <v>5</v>
      </c>
      <c r="C62" s="291" t="s">
        <v>100</v>
      </c>
      <c r="D62" s="289">
        <v>95</v>
      </c>
      <c r="E62" s="290" t="s">
        <v>147</v>
      </c>
      <c r="F62" s="277">
        <f ca="1">INDEX(OFFSET('Adjustment scenario'!$D$1:$W$1,$D62-1,0),MATCH(F$4,'Adjustment scenario'!$D$10:$W$10,0))</f>
        <v>0</v>
      </c>
      <c r="G62" s="277">
        <f ca="1">INDEX(OFFSET('Adjustment scenario'!$D$1:$W$1,$D62-1,0),MATCH(G$4,'Adjustment scenario'!$D$10:$W$10,0))</f>
        <v>6.0988364105707196E-3</v>
      </c>
      <c r="H62" s="277">
        <f ca="1">INDEX(OFFSET('Adjustment scenario'!$D$1:$W$1,$D62-1,0),MATCH(H$4,'Adjustment scenario'!$D$10:$W$10,0))</f>
        <v>0</v>
      </c>
      <c r="I62" s="277">
        <f ca="1">INDEX(OFFSET('Adjustment scenario'!$D$1:$W$1,$D62-1,0),MATCH(I$4,'Adjustment scenario'!$D$10:$W$10,0))</f>
        <v>3.1895522754782635E-3</v>
      </c>
      <c r="J62" s="277">
        <f ca="1">INDEX(OFFSET('Adjustment scenario'!$D$1:$W$1,$D62-1,0),MATCH(J$4,'Adjustment scenario'!$D$10:$W$10,0))</f>
        <v>3.0253730733302347E-3</v>
      </c>
      <c r="K62" s="277">
        <f ca="1">INDEX(OFFSET('Adjustment scenario'!$D$1:$W$1,$D62-1,0),MATCH(K$4,'Adjustment scenario'!$D$10:$W$10,0))</f>
        <v>3.0691669214306726E-3</v>
      </c>
      <c r="L62" s="277">
        <f ca="1">INDEX(OFFSET('Adjustment scenario'!$D$1:$W$1,$D62-1,0),MATCH(L$4,'Adjustment scenario'!$D$10:$W$10,0))</f>
        <v>2.8679820416089804E-3</v>
      </c>
      <c r="M62" s="277">
        <f ca="1">INDEX(OFFSET('Adjustment scenario'!$D$1:$W$1,$D62-1,0),MATCH(M$4,'Adjustment scenario'!$D$10:$W$10,0))</f>
        <v>2.7696721640296275E-3</v>
      </c>
      <c r="N62" s="277">
        <f ca="1">INDEX(OFFSET('Adjustment scenario'!$D$1:$W$1,$D62-1,0),MATCH(N$4,'Adjustment scenario'!$D$10:$W$10,0))</f>
        <v>2.6778625099098713E-3</v>
      </c>
      <c r="O62" s="277">
        <f ca="1">INDEX(OFFSET('Adjustment scenario'!$D$1:$W$1,$D62-1,0),MATCH(O$4,'Adjustment scenario'!$D$10:$W$10,0))</f>
        <v>2.623605463092627E-3</v>
      </c>
      <c r="P62" s="277">
        <f ca="1">INDEX(OFFSET('Adjustment scenario'!$D$1:$W$1,$D62-1,0),MATCH(P$4,'Adjustment scenario'!$D$10:$W$10,0))</f>
        <v>2.5519481730689941E-3</v>
      </c>
      <c r="Q62" s="277">
        <f ca="1">INDEX(OFFSET('Adjustment scenario'!$D$1:$W$1,$D62-1,0),MATCH(Q$4,'Adjustment scenario'!$D$10:$W$10,0))</f>
        <v>2.4901046994600922E-3</v>
      </c>
      <c r="R62" s="277">
        <f ca="1">INDEX(OFFSET('Adjustment scenario'!$D$1:$W$1,$D62-1,0),MATCH(R$4,'Adjustment scenario'!$D$10:$W$10,0))</f>
        <v>2.419202250364755E-3</v>
      </c>
      <c r="S62" s="277">
        <f ca="1">INDEX(OFFSET('Adjustment scenario'!$D$1:$W$1,$D62-1,0),MATCH(S$4,'Adjustment scenario'!$D$10:$W$10,0))</f>
        <v>2.3501125177829824E-3</v>
      </c>
      <c r="T62" s="277">
        <f ca="1">INDEX(OFFSET('Adjustment scenario'!$D$1:$W$1,$D62-1,0),MATCH(T$4,'Adjustment scenario'!$D$10:$W$10,0))</f>
        <v>2.2615693929066566E-3</v>
      </c>
      <c r="U62" s="277">
        <f ca="1">INDEX(OFFSET('Adjustment scenario'!$D$1:$W$1,$D62-1,0),MATCH(U$4,'Adjustment scenario'!$D$10:$W$10,0))</f>
        <v>2.1792843380855579E-3</v>
      </c>
      <c r="V62" s="277">
        <f ca="1">INDEX(OFFSET('Adjustment scenario'!$D$1:$W$1,$D62-1,0),MATCH(V$4,'Adjustment scenario'!$D$10:$W$10,0))</f>
        <v>2.1384346573099905E-3</v>
      </c>
      <c r="W62" s="277">
        <f ca="1">INDEX(OFFSET('Adjustment scenario'!$D$1:$W$1,$D62-1,0),MATCH(W$4,'Adjustment scenario'!$D$10:$W$10,0))</f>
        <v>2.1144521638397375E-3</v>
      </c>
      <c r="X62" s="277">
        <f ca="1">INDEX(OFFSET('Adjustment scenario'!$D$1:$W$1,$D62-1,0),MATCH(X$4,'Adjustment scenario'!$D$10:$W$10,0))</f>
        <v>2.157266282410491E-3</v>
      </c>
      <c r="Y62" s="191"/>
    </row>
    <row r="63" spans="1:25" x14ac:dyDescent="0.2">
      <c r="A63" s="191"/>
      <c r="B63" s="191"/>
      <c r="C63" s="191"/>
      <c r="D63" s="191"/>
      <c r="E63" s="191"/>
      <c r="F63" s="191"/>
      <c r="G63" s="191"/>
      <c r="H63" s="191"/>
      <c r="I63" s="191"/>
      <c r="J63" s="191"/>
      <c r="K63" s="191"/>
      <c r="L63" s="191"/>
      <c r="M63" s="191"/>
      <c r="N63" s="191"/>
      <c r="O63" s="191"/>
      <c r="P63" s="191"/>
      <c r="Q63" s="191"/>
      <c r="R63" s="191"/>
      <c r="S63" s="191"/>
      <c r="T63" s="191"/>
      <c r="U63" s="191"/>
      <c r="V63" s="191"/>
      <c r="W63" s="191"/>
      <c r="X63" s="191"/>
      <c r="Y63" s="191"/>
    </row>
  </sheetData>
  <conditionalFormatting sqref="V4:X63">
    <cfRule type="expression" dxfId="3" priority="1">
      <formula>#REF!=4</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expression" priority="2" id="{1794A10D-CEDE-4DE7-974F-7E50033A335B}">
            <xm:f>'Criteria results'!$F$5=4</xm:f>
            <x14:dxf>
              <font>
                <color theme="0"/>
              </font>
              <fill>
                <patternFill>
                  <bgColor theme="0"/>
                </patternFill>
              </fill>
            </x14:dxf>
          </x14:cfRule>
          <xm:sqref>V4:X63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5637D-C597-4E38-ADE0-4F52B1E42E7B}">
  <sheetPr codeName="Sheet26">
    <tabColor rgb="FF7030A0"/>
  </sheetPr>
  <dimension ref="A1:Y63"/>
  <sheetViews>
    <sheetView zoomScale="90" zoomScaleNormal="90" workbookViewId="0"/>
  </sheetViews>
  <sheetFormatPr defaultRowHeight="12.75" x14ac:dyDescent="0.2"/>
  <cols>
    <col min="1" max="1" width="9.140625" style="276"/>
    <col min="2" max="2" width="4.5703125" style="276" customWidth="1"/>
    <col min="3" max="3" width="67" style="276" customWidth="1"/>
    <col min="4" max="4" width="16.5703125" style="276" customWidth="1"/>
    <col min="5" max="5" width="13.7109375" style="276" customWidth="1"/>
    <col min="6" max="24" width="10.7109375" style="276" customWidth="1"/>
    <col min="25" max="16384" width="9.140625" style="276"/>
  </cols>
  <sheetData>
    <row r="1" spans="1:25" x14ac:dyDescent="0.2">
      <c r="A1" s="191"/>
      <c r="B1" s="191"/>
      <c r="C1" s="191"/>
      <c r="D1" s="191"/>
      <c r="E1" s="191"/>
      <c r="F1" s="191"/>
      <c r="G1" s="191"/>
      <c r="H1" s="191"/>
      <c r="I1" s="191"/>
      <c r="J1" s="191"/>
      <c r="K1" s="191"/>
      <c r="L1" s="191"/>
      <c r="M1" s="191"/>
      <c r="N1" s="191"/>
      <c r="O1" s="191"/>
      <c r="P1" s="191"/>
      <c r="Q1" s="191"/>
      <c r="R1" s="191"/>
      <c r="S1" s="191"/>
      <c r="T1" s="191"/>
      <c r="U1" s="191"/>
      <c r="V1" s="191"/>
      <c r="W1" s="191"/>
      <c r="X1" s="191"/>
      <c r="Y1" s="191"/>
    </row>
    <row r="2" spans="1:25" x14ac:dyDescent="0.2">
      <c r="A2" s="191"/>
      <c r="B2" s="281"/>
      <c r="C2" s="282" t="s">
        <v>145</v>
      </c>
      <c r="D2" s="283"/>
      <c r="E2" s="283"/>
      <c r="F2" s="283"/>
      <c r="G2" s="299"/>
      <c r="H2" s="299"/>
      <c r="I2" s="299"/>
      <c r="J2" s="299"/>
      <c r="K2" s="191"/>
      <c r="L2" s="191"/>
      <c r="M2" s="191"/>
      <c r="N2" s="191"/>
      <c r="O2" s="191"/>
      <c r="P2" s="191"/>
      <c r="Q2" s="191"/>
      <c r="R2" s="191"/>
      <c r="S2" s="191"/>
      <c r="T2" s="191"/>
      <c r="U2" s="191"/>
      <c r="V2" s="191"/>
      <c r="W2" s="191"/>
      <c r="X2" s="191"/>
      <c r="Y2" s="191"/>
    </row>
    <row r="3" spans="1:25" x14ac:dyDescent="0.2">
      <c r="A3" s="191"/>
      <c r="B3" s="278"/>
      <c r="C3" s="299"/>
      <c r="D3" s="299"/>
      <c r="E3" s="299"/>
      <c r="F3" s="299"/>
      <c r="G3" s="299"/>
      <c r="H3" s="299"/>
      <c r="I3" s="299"/>
      <c r="J3" s="299"/>
      <c r="K3" s="191"/>
      <c r="L3" s="191"/>
      <c r="M3" s="191"/>
      <c r="N3" s="191"/>
      <c r="O3" s="191"/>
      <c r="P3" s="191"/>
      <c r="Q3" s="191"/>
      <c r="R3" s="191"/>
      <c r="S3" s="191"/>
      <c r="T3" s="191"/>
      <c r="U3" s="191"/>
      <c r="V3" s="191"/>
      <c r="W3" s="191"/>
      <c r="X3" s="191"/>
      <c r="Y3" s="191"/>
    </row>
    <row r="4" spans="1:25" x14ac:dyDescent="0.2">
      <c r="A4" s="191"/>
      <c r="B4" s="284"/>
      <c r="C4" s="282"/>
      <c r="D4" s="285" t="s">
        <v>166</v>
      </c>
      <c r="E4" s="286">
        <f>F4-1</f>
        <v>2022</v>
      </c>
      <c r="F4" s="287">
        <f>'Input data'!$C$5-1</f>
        <v>2023</v>
      </c>
      <c r="G4" s="287">
        <f>F4+1</f>
        <v>2024</v>
      </c>
      <c r="H4" s="287">
        <f t="shared" ref="H4:X4" si="0">G4+1</f>
        <v>2025</v>
      </c>
      <c r="I4" s="287">
        <f t="shared" si="0"/>
        <v>2026</v>
      </c>
      <c r="J4" s="287">
        <f t="shared" si="0"/>
        <v>2027</v>
      </c>
      <c r="K4" s="287">
        <f t="shared" si="0"/>
        <v>2028</v>
      </c>
      <c r="L4" s="287">
        <f t="shared" si="0"/>
        <v>2029</v>
      </c>
      <c r="M4" s="287">
        <f t="shared" si="0"/>
        <v>2030</v>
      </c>
      <c r="N4" s="287">
        <f t="shared" si="0"/>
        <v>2031</v>
      </c>
      <c r="O4" s="287">
        <f t="shared" si="0"/>
        <v>2032</v>
      </c>
      <c r="P4" s="287">
        <f t="shared" si="0"/>
        <v>2033</v>
      </c>
      <c r="Q4" s="287">
        <f t="shared" si="0"/>
        <v>2034</v>
      </c>
      <c r="R4" s="287">
        <f t="shared" si="0"/>
        <v>2035</v>
      </c>
      <c r="S4" s="287">
        <f t="shared" si="0"/>
        <v>2036</v>
      </c>
      <c r="T4" s="287">
        <f t="shared" si="0"/>
        <v>2037</v>
      </c>
      <c r="U4" s="287">
        <f t="shared" si="0"/>
        <v>2038</v>
      </c>
      <c r="V4" s="287">
        <f t="shared" si="0"/>
        <v>2039</v>
      </c>
      <c r="W4" s="287">
        <f t="shared" si="0"/>
        <v>2040</v>
      </c>
      <c r="X4" s="287">
        <f t="shared" si="0"/>
        <v>2041</v>
      </c>
      <c r="Y4" s="191"/>
    </row>
    <row r="5" spans="1:25" x14ac:dyDescent="0.2">
      <c r="A5" s="191"/>
      <c r="B5" s="284">
        <v>1</v>
      </c>
      <c r="C5" s="288" t="s">
        <v>146</v>
      </c>
      <c r="D5" s="289">
        <v>57</v>
      </c>
      <c r="E5" s="290" t="s">
        <v>147</v>
      </c>
      <c r="F5" s="277">
        <f ca="1">INDEX(OFFSET('Adjust. no safeguard'!$D$1:$W$1,$D5-1,0),MATCH(F$4,'Adjust. no safeguard'!$D$10:$W$10,0))</f>
        <v>22.884294685123706</v>
      </c>
      <c r="G5" s="277">
        <f ca="1">INDEX(OFFSET('Adjust. no safeguard'!$D$1:$W$1,$D5-1,0),MATCH(G$4,'Adjust. no safeguard'!$D$10:$W$10,0))</f>
        <v>24.494983925203403</v>
      </c>
      <c r="H5" s="277">
        <f ca="1">INDEX(OFFSET('Adjust. no safeguard'!$D$1:$W$1,$D5-1,0),MATCH(H$4,'Adjust. no safeguard'!$D$10:$W$10,0))</f>
        <v>22.990594623762441</v>
      </c>
      <c r="I5" s="277">
        <f ca="1">INDEX(OFFSET('Adjust. no safeguard'!$D$1:$W$1,$D5-1,0),MATCH(I$4,'Adjust. no safeguard'!$D$10:$W$10,0))</f>
        <v>24.058397923368716</v>
      </c>
      <c r="J5" s="277">
        <f ca="1">INDEX(OFFSET('Adjust. no safeguard'!$D$1:$W$1,$D5-1,0),MATCH(J$4,'Adjust. no safeguard'!$D$10:$W$10,0))</f>
        <v>25.532197882038222</v>
      </c>
      <c r="K5" s="277">
        <f ca="1">INDEX(OFFSET('Adjust. no safeguard'!$D$1:$W$1,$D5-1,0),MATCH(K$4,'Adjust. no safeguard'!$D$10:$W$10,0))</f>
        <v>27.181173989104558</v>
      </c>
      <c r="L5" s="277">
        <f ca="1">INDEX(OFFSET('Adjust. no safeguard'!$D$1:$W$1,$D5-1,0),MATCH(L$4,'Adjust. no safeguard'!$D$10:$W$10,0))</f>
        <v>28.788769815361711</v>
      </c>
      <c r="M5" s="277">
        <f ca="1">INDEX(OFFSET('Adjust. no safeguard'!$D$1:$W$1,$D5-1,0),MATCH(M$4,'Adjust. no safeguard'!$D$10:$W$10,0))</f>
        <v>30.347880375367456</v>
      </c>
      <c r="N5" s="277">
        <f ca="1">INDEX(OFFSET('Adjust. no safeguard'!$D$1:$W$1,$D5-1,0),MATCH(N$4,'Adjust. no safeguard'!$D$10:$W$10,0))</f>
        <v>31.91935247344211</v>
      </c>
      <c r="O5" s="277">
        <f ca="1">INDEX(OFFSET('Adjust. no safeguard'!$D$1:$W$1,$D5-1,0),MATCH(O$4,'Adjust. no safeguard'!$D$10:$W$10,0))</f>
        <v>33.499788610253631</v>
      </c>
      <c r="P5" s="277">
        <f ca="1">INDEX(OFFSET('Adjust. no safeguard'!$D$1:$W$1,$D5-1,0),MATCH(P$4,'Adjust. no safeguard'!$D$10:$W$10,0))</f>
        <v>35.090702437310647</v>
      </c>
      <c r="Q5" s="277">
        <f ca="1">INDEX(OFFSET('Adjust. no safeguard'!$D$1:$W$1,$D5-1,0),MATCH(Q$4,'Adjust. no safeguard'!$D$10:$W$10,0))</f>
        <v>36.67975515775418</v>
      </c>
      <c r="R5" s="277">
        <f ca="1">INDEX(OFFSET('Adjust. no safeguard'!$D$1:$W$1,$D5-1,0),MATCH(R$4,'Adjust. no safeguard'!$D$10:$W$10,0))</f>
        <v>38.243468678541042</v>
      </c>
      <c r="S5" s="277">
        <f ca="1">INDEX(OFFSET('Adjust. no safeguard'!$D$1:$W$1,$D5-1,0),MATCH(S$4,'Adjust. no safeguard'!$D$10:$W$10,0))</f>
        <v>39.783902409391573</v>
      </c>
      <c r="T5" s="277">
        <f ca="1">INDEX(OFFSET('Adjust. no safeguard'!$D$1:$W$1,$D5-1,0),MATCH(T$4,'Adjust. no safeguard'!$D$10:$W$10,0))</f>
        <v>41.291914409183107</v>
      </c>
      <c r="U5" s="277">
        <f ca="1">INDEX(OFFSET('Adjust. no safeguard'!$D$1:$W$1,$D5-1,0),MATCH(U$4,'Adjust. no safeguard'!$D$10:$W$10,0))</f>
        <v>42.801342278270866</v>
      </c>
      <c r="V5" s="277">
        <f ca="1">INDEX(OFFSET('Adjust. no safeguard'!$D$1:$W$1,$D5-1,0),MATCH(V$4,'Adjust. no safeguard'!$D$10:$W$10,0))</f>
        <v>44.332358717470015</v>
      </c>
      <c r="W5" s="277">
        <f ca="1">INDEX(OFFSET('Adjust. no safeguard'!$D$1:$W$1,$D5-1,0),MATCH(W$4,'Adjust. no safeguard'!$D$10:$W$10,0))</f>
        <v>45.889568912260287</v>
      </c>
      <c r="X5" s="277">
        <f ca="1">INDEX(OFFSET('Adjust. no safeguard'!$D$1:$W$1,$D5-1,0),MATCH(X$4,'Adjust. no safeguard'!$D$10:$W$10,0))</f>
        <v>47.505823901757658</v>
      </c>
      <c r="Y5" s="191"/>
    </row>
    <row r="6" spans="1:25" x14ac:dyDescent="0.2">
      <c r="A6" s="191"/>
      <c r="B6" s="284">
        <v>2</v>
      </c>
      <c r="C6" s="288" t="s">
        <v>148</v>
      </c>
      <c r="D6" s="289">
        <v>77</v>
      </c>
      <c r="E6" s="290" t="s">
        <v>147</v>
      </c>
      <c r="F6" s="277">
        <f ca="1">INDEX(OFFSET('Adjust. no safeguard'!$D$1:$W$1,$D6-1,0),MATCH(F$4,'Adjust. no safeguard'!$D$10:$W$10,0))</f>
        <v>-2.0024050348224529</v>
      </c>
      <c r="G6" s="277">
        <f ca="1">INDEX(OFFSET('Adjust. no safeguard'!$D$1:$W$1,$D6-1,0),MATCH(G$4,'Adjust. no safeguard'!$D$10:$W$10,0))</f>
        <v>-2.6315401809889596</v>
      </c>
      <c r="H6" s="277">
        <f ca="1">INDEX(OFFSET('Adjust. no safeguard'!$D$1:$W$1,$D6-1,0),MATCH(H$4,'Adjust. no safeguard'!$D$10:$W$10,0))</f>
        <v>-2.641332512791537</v>
      </c>
      <c r="I6" s="277">
        <f ca="1">INDEX(OFFSET('Adjust. no safeguard'!$D$1:$W$1,$D6-1,0),MATCH(I$4,'Adjust. no safeguard'!$D$10:$W$10,0))</f>
        <v>-2.4672044299176266</v>
      </c>
      <c r="J6" s="277">
        <f ca="1">INDEX(OFFSET('Adjust. no safeguard'!$D$1:$W$1,$D6-1,0),MATCH(J$4,'Adjust. no safeguard'!$D$10:$W$10,0))</f>
        <v>-2.6190500043352216</v>
      </c>
      <c r="K6" s="277">
        <f ca="1">INDEX(OFFSET('Adjust. no safeguard'!$D$1:$W$1,$D6-1,0),MATCH(K$4,'Adjust. no safeguard'!$D$10:$W$10,0))</f>
        <v>-2.7818005342030845</v>
      </c>
      <c r="L6" s="277">
        <f ca="1">INDEX(OFFSET('Adjust. no safeguard'!$D$1:$W$1,$D6-1,0),MATCH(L$4,'Adjust. no safeguard'!$D$10:$W$10,0))</f>
        <v>-2.8004473422751279</v>
      </c>
      <c r="M6" s="277">
        <f ca="1">INDEX(OFFSET('Adjust. no safeguard'!$D$1:$W$1,$D6-1,0),MATCH(M$4,'Adjust. no safeguard'!$D$10:$W$10,0))</f>
        <v>-2.8206583267122007</v>
      </c>
      <c r="N6" s="277">
        <f ca="1">INDEX(OFFSET('Adjust. no safeguard'!$D$1:$W$1,$D6-1,0),MATCH(N$4,'Adjust. no safeguard'!$D$10:$W$10,0))</f>
        <v>-2.8472945468978774</v>
      </c>
      <c r="O6" s="277">
        <f ca="1">INDEX(OFFSET('Adjust. no safeguard'!$D$1:$W$1,$D6-1,0),MATCH(O$4,'Adjust. no safeguard'!$D$10:$W$10,0))</f>
        <v>-2.8785091213807239</v>
      </c>
      <c r="P6" s="277">
        <f ca="1">INDEX(OFFSET('Adjust. no safeguard'!$D$1:$W$1,$D6-1,0),MATCH(P$4,'Adjust. no safeguard'!$D$10:$W$10,0))</f>
        <v>-2.9035796509018947</v>
      </c>
      <c r="Q6" s="277">
        <f ca="1">INDEX(OFFSET('Adjust. no safeguard'!$D$1:$W$1,$D6-1,0),MATCH(Q$4,'Adjust. no safeguard'!$D$10:$W$10,0))</f>
        <v>-2.9367258097397126</v>
      </c>
      <c r="R6" s="277">
        <f ca="1">INDEX(OFFSET('Adjust. no safeguard'!$D$1:$W$1,$D6-1,0),MATCH(R$4,'Adjust. no safeguard'!$D$10:$W$10,0))</f>
        <v>-2.9645716942523954</v>
      </c>
      <c r="S6" s="277">
        <f ca="1">INDEX(OFFSET('Adjust. no safeguard'!$D$1:$W$1,$D6-1,0),MATCH(S$4,'Adjust. no safeguard'!$D$10:$W$10,0))</f>
        <v>-2.9928273961617764</v>
      </c>
      <c r="T6" s="277">
        <f ca="1">INDEX(OFFSET('Adjust. no safeguard'!$D$1:$W$1,$D6-1,0),MATCH(T$4,'Adjust. no safeguard'!$D$10:$W$10,0))</f>
        <v>-3.0103959593625911</v>
      </c>
      <c r="U6" s="277">
        <f ca="1">INDEX(OFFSET('Adjust. no safeguard'!$D$1:$W$1,$D6-1,0),MATCH(U$4,'Adjust. no safeguard'!$D$10:$W$10,0))</f>
        <v>-3.0310882452313024</v>
      </c>
      <c r="V6" s="277">
        <f ca="1">INDEX(OFFSET('Adjust. no safeguard'!$D$1:$W$1,$D6-1,0),MATCH(V$4,'Adjust. no safeguard'!$D$10:$W$10,0))</f>
        <v>-3.0731671355927146</v>
      </c>
      <c r="W6" s="277">
        <f ca="1">INDEX(OFFSET('Adjust. no safeguard'!$D$1:$W$1,$D6-1,0),MATCH(W$4,'Adjust. no safeguard'!$D$10:$W$10,0))</f>
        <v>-3.1237927734355062</v>
      </c>
      <c r="X6" s="277">
        <f ca="1">INDEX(OFFSET('Adjust. no safeguard'!$D$1:$W$1,$D6-1,0),MATCH(X$4,'Adjust. no safeguard'!$D$10:$W$10,0))</f>
        <v>-3.2088779686222706</v>
      </c>
      <c r="Y6" s="191"/>
    </row>
    <row r="7" spans="1:25" x14ac:dyDescent="0.2">
      <c r="A7" s="191"/>
      <c r="B7" s="284">
        <v>3</v>
      </c>
      <c r="C7" s="288" t="s">
        <v>18</v>
      </c>
      <c r="D7" s="289">
        <v>12</v>
      </c>
      <c r="E7" s="290" t="s">
        <v>149</v>
      </c>
      <c r="F7" s="277">
        <f ca="1">INDEX(OFFSET('Adjust. no safeguard'!$D$1:$W$1,$D7-1,0),MATCH(F$4,'Adjust. no safeguard'!$D$10:$W$10,0))</f>
        <v>-1.7785709999999999</v>
      </c>
      <c r="G7" s="277">
        <f ca="1">INDEX(OFFSET('Adjust. no safeguard'!$D$1:$W$1,$D7-1,0),MATCH(G$4,'Adjust. no safeguard'!$D$10:$W$10,0))</f>
        <v>-2.0899299999999998</v>
      </c>
      <c r="H7" s="277">
        <f ca="1">INDEX(OFFSET('Adjust. no safeguard'!$D$1:$W$1,$D7-1,0),MATCH(H$4,'Adjust. no safeguard'!$D$10:$W$10,0))</f>
        <v>-2.0899299999999998</v>
      </c>
      <c r="I7" s="277">
        <f ca="1">INDEX(OFFSET('Adjust. no safeguard'!$D$1:$W$1,$D7-1,0),MATCH(I$4,'Adjust. no safeguard'!$D$10:$W$10,0))</f>
        <v>-2.0899299999999998</v>
      </c>
      <c r="J7" s="277">
        <f ca="1">INDEX(OFFSET('Adjust. no safeguard'!$D$1:$W$1,$D7-1,0),MATCH(J$4,'Adjust. no safeguard'!$D$10:$W$10,0))</f>
        <v>-2.0899299999999998</v>
      </c>
      <c r="K7" s="277">
        <f ca="1">INDEX(OFFSET('Adjust. no safeguard'!$D$1:$W$1,$D7-1,0),MATCH(K$4,'Adjust. no safeguard'!$D$10:$W$10,0))</f>
        <v>-2.0899299999999998</v>
      </c>
      <c r="L7" s="277">
        <f ca="1">INDEX(OFFSET('Adjust. no safeguard'!$D$1:$W$1,$D7-1,0),MATCH(L$4,'Adjust. no safeguard'!$D$10:$W$10,0))</f>
        <v>-2.0899299999999998</v>
      </c>
      <c r="M7" s="277">
        <f ca="1">INDEX(OFFSET('Adjust. no safeguard'!$D$1:$W$1,$D7-1,0),MATCH(M$4,'Adjust. no safeguard'!$D$10:$W$10,0))</f>
        <v>-2.0899299999999998</v>
      </c>
      <c r="N7" s="277">
        <f ca="1">INDEX(OFFSET('Adjust. no safeguard'!$D$1:$W$1,$D7-1,0),MATCH(N$4,'Adjust. no safeguard'!$D$10:$W$10,0))</f>
        <v>-2.0899299999999998</v>
      </c>
      <c r="O7" s="277">
        <f ca="1">INDEX(OFFSET('Adjust. no safeguard'!$D$1:$W$1,$D7-1,0),MATCH(O$4,'Adjust. no safeguard'!$D$10:$W$10,0))</f>
        <v>-2.0899299999999998</v>
      </c>
      <c r="P7" s="277">
        <f ca="1">INDEX(OFFSET('Adjust. no safeguard'!$D$1:$W$1,$D7-1,0),MATCH(P$4,'Adjust. no safeguard'!$D$10:$W$10,0))</f>
        <v>-2.0899299999999998</v>
      </c>
      <c r="Q7" s="277">
        <f ca="1">INDEX(OFFSET('Adjust. no safeguard'!$D$1:$W$1,$D7-1,0),MATCH(Q$4,'Adjust. no safeguard'!$D$10:$W$10,0))</f>
        <v>-2.0899299999999998</v>
      </c>
      <c r="R7" s="277">
        <f ca="1">INDEX(OFFSET('Adjust. no safeguard'!$D$1:$W$1,$D7-1,0),MATCH(R$4,'Adjust. no safeguard'!$D$10:$W$10,0))</f>
        <v>-2.0899299999999998</v>
      </c>
      <c r="S7" s="277">
        <f ca="1">INDEX(OFFSET('Adjust. no safeguard'!$D$1:$W$1,$D7-1,0),MATCH(S$4,'Adjust. no safeguard'!$D$10:$W$10,0))</f>
        <v>-2.0899299999999998</v>
      </c>
      <c r="T7" s="277">
        <f ca="1">INDEX(OFFSET('Adjust. no safeguard'!$D$1:$W$1,$D7-1,0),MATCH(T$4,'Adjust. no safeguard'!$D$10:$W$10,0))</f>
        <v>-2.0899299999999998</v>
      </c>
      <c r="U7" s="277">
        <f ca="1">INDEX(OFFSET('Adjust. no safeguard'!$D$1:$W$1,$D7-1,0),MATCH(U$4,'Adjust. no safeguard'!$D$10:$W$10,0))</f>
        <v>-2.0899299999999998</v>
      </c>
      <c r="V7" s="277">
        <f ca="1">INDEX(OFFSET('Adjust. no safeguard'!$D$1:$W$1,$D7-1,0),MATCH(V$4,'Adjust. no safeguard'!$D$10:$W$10,0))</f>
        <v>-2.0899299999999998</v>
      </c>
      <c r="W7" s="277">
        <f ca="1">INDEX(OFFSET('Adjust. no safeguard'!$D$1:$W$1,$D7-1,0),MATCH(W$4,'Adjust. no safeguard'!$D$10:$W$10,0))</f>
        <v>-2.0899299999999998</v>
      </c>
      <c r="X7" s="277">
        <f ca="1">INDEX(OFFSET('Adjust. no safeguard'!$D$1:$W$1,$D7-1,0),MATCH(X$4,'Adjust. no safeguard'!$D$10:$W$10,0))</f>
        <v>-2.0899299999999998</v>
      </c>
      <c r="Y7" s="191"/>
    </row>
    <row r="8" spans="1:25" x14ac:dyDescent="0.2">
      <c r="A8" s="191"/>
      <c r="B8" s="284">
        <v>4</v>
      </c>
      <c r="C8" s="288" t="s">
        <v>150</v>
      </c>
      <c r="D8" s="289">
        <v>62</v>
      </c>
      <c r="E8" s="290" t="s">
        <v>149</v>
      </c>
      <c r="F8" s="277">
        <f ca="1">INDEX(OFFSET('Adjust. no safeguard'!$D$1:$W$1,$D8-1,0),MATCH(F$4,'Adjust. no safeguard'!$D$10:$W$10,0))</f>
        <v>-0.26965387290526494</v>
      </c>
      <c r="G8" s="277">
        <f ca="1">INDEX(OFFSET('Adjust. no safeguard'!$D$1:$W$1,$D8-1,0),MATCH(G$4,'Adjust. no safeguard'!$D$10:$W$10,0))</f>
        <v>-5.0657359920302E-2</v>
      </c>
      <c r="H8" s="277">
        <f ca="1">INDEX(OFFSET('Adjust. no safeguard'!$D$1:$W$1,$D8-1,0),MATCH(H$4,'Adjust. no safeguard'!$D$10:$W$10,0))</f>
        <v>-3.1210501440960579E-2</v>
      </c>
      <c r="I8" s="277">
        <f ca="1">INDEX(OFFSET('Adjust. no safeguard'!$D$1:$W$1,$D8-1,0),MATCH(I$4,'Adjust. no safeguard'!$D$10:$W$10,0))</f>
        <v>-0.16615702465899554</v>
      </c>
      <c r="J8" s="277">
        <f ca="1">INDEX(OFFSET('Adjust. no safeguard'!$D$1:$W$1,$D8-1,0),MATCH(J$4,'Adjust. no safeguard'!$D$10:$W$10,0))</f>
        <v>-0.1107703579425042</v>
      </c>
      <c r="K8" s="277">
        <f ca="1">INDEX(OFFSET('Adjust. no safeguard'!$D$1:$W$1,$D8-1,0),MATCH(K$4,'Adjust. no safeguard'!$D$10:$W$10,0))</f>
        <v>-5.5383239381516874E-2</v>
      </c>
      <c r="L8" s="277">
        <f ca="1">INDEX(OFFSET('Adjust. no safeguard'!$D$1:$W$1,$D8-1,0),MATCH(L$4,'Adjust. no safeguard'!$D$10:$W$10,0))</f>
        <v>3.2662353611323523E-6</v>
      </c>
      <c r="M8" s="277">
        <f ca="1">INDEX(OFFSET('Adjust. no safeguard'!$D$1:$W$1,$D8-1,0),MATCH(M$4,'Adjust. no safeguard'!$D$10:$W$10,0))</f>
        <v>4.1429151861338553E-6</v>
      </c>
      <c r="N8" s="277">
        <f ca="1">INDEX(OFFSET('Adjust. no safeguard'!$D$1:$W$1,$D8-1,0),MATCH(N$4,'Adjust. no safeguard'!$D$10:$W$10,0))</f>
        <v>3.5576685169402819E-6</v>
      </c>
      <c r="O8" s="277">
        <f ca="1">INDEX(OFFSET('Adjust. no safeguard'!$D$1:$W$1,$D8-1,0),MATCH(O$4,'Adjust. no safeguard'!$D$10:$W$10,0))</f>
        <v>3.8505633755736563E-6</v>
      </c>
      <c r="P8" s="277">
        <f ca="1">INDEX(OFFSET('Adjust. no safeguard'!$D$1:$W$1,$D8-1,0),MATCH(P$4,'Adjust. no safeguard'!$D$10:$W$10,0))</f>
        <v>3.2641641100950024E-6</v>
      </c>
      <c r="Q8" s="277">
        <f ca="1">INDEX(OFFSET('Adjust. no safeguard'!$D$1:$W$1,$D8-1,0),MATCH(Q$4,'Adjust. no safeguard'!$D$10:$W$10,0))</f>
        <v>3.8507424925393607E-6</v>
      </c>
      <c r="R8" s="277">
        <f ca="1">INDEX(OFFSET('Adjust. no safeguard'!$D$1:$W$1,$D8-1,0),MATCH(R$4,'Adjust. no safeguard'!$D$10:$W$10,0))</f>
        <v>2.9708297053954167E-6</v>
      </c>
      <c r="S8" s="277">
        <f ca="1">INDEX(OFFSET('Adjust. no safeguard'!$D$1:$W$1,$D8-1,0),MATCH(S$4,'Adjust. no safeguard'!$D$10:$W$10,0))</f>
        <v>4.4374264447810676E-6</v>
      </c>
      <c r="T8" s="277">
        <f ca="1">INDEX(OFFSET('Adjust. no safeguard'!$D$1:$W$1,$D8-1,0),MATCH(T$4,'Adjust. no safeguard'!$D$10:$W$10,0))</f>
        <v>3.2640887928980788E-6</v>
      </c>
      <c r="U8" s="277">
        <f ca="1">INDEX(OFFSET('Adjust. no safeguard'!$D$1:$W$1,$D8-1,0),MATCH(U$4,'Adjust. no safeguard'!$D$10:$W$10,0))</f>
        <v>3.2640887895896142E-6</v>
      </c>
      <c r="V8" s="277">
        <f ca="1">INDEX(OFFSET('Adjust. no safeguard'!$D$1:$W$1,$D8-1,0),MATCH(V$4,'Adjust. no safeguard'!$D$10:$W$10,0))</f>
        <v>2.6765643384552005E-6</v>
      </c>
      <c r="W8" s="277">
        <f ca="1">INDEX(OFFSET('Adjust. no safeguard'!$D$1:$W$1,$D8-1,0),MATCH(W$4,'Adjust. no safeguard'!$D$10:$W$10,0))</f>
        <v>2.0887179869477632E-6</v>
      </c>
      <c r="X8" s="277">
        <f ca="1">INDEX(OFFSET('Adjust. no safeguard'!$D$1:$W$1,$D8-1,0),MATCH(X$4,'Adjust. no safeguard'!$D$10:$W$10,0))</f>
        <v>9.1245674083140216E-7</v>
      </c>
      <c r="Y8" s="191"/>
    </row>
    <row r="9" spans="1:25" x14ac:dyDescent="0.2">
      <c r="A9" s="191"/>
      <c r="B9" s="284">
        <v>5</v>
      </c>
      <c r="C9" s="288" t="s">
        <v>151</v>
      </c>
      <c r="D9" s="289">
        <v>14</v>
      </c>
      <c r="E9" s="290" t="s">
        <v>147</v>
      </c>
      <c r="F9" s="277">
        <f ca="1">INDEX(OFFSET('Adjust. no safeguard'!$D$1:$W$1,$D9-1,0),MATCH(F$4,'Adjust. no safeguard'!$D$10:$W$10,0))</f>
        <v>0</v>
      </c>
      <c r="G9" s="277">
        <f ca="1">INDEX(OFFSET('Adjust. no safeguard'!$D$1:$W$1,$D9-1,0),MATCH(G$4,'Adjust. no safeguard'!$D$10:$W$10,0))</f>
        <v>0</v>
      </c>
      <c r="H9" s="277">
        <f ca="1">INDEX(OFFSET('Adjust. no safeguard'!$D$1:$W$1,$D9-1,0),MATCH(H$4,'Adjust. no safeguard'!$D$10:$W$10,0))</f>
        <v>0</v>
      </c>
      <c r="I9" s="277">
        <f ca="1">INDEX(OFFSET('Adjust. no safeguard'!$D$1:$W$1,$D9-1,0),MATCH(I$4,'Adjust. no safeguard'!$D$10:$W$10,0))</f>
        <v>0</v>
      </c>
      <c r="J9" s="277">
        <f ca="1">INDEX(OFFSET('Adjust. no safeguard'!$D$1:$W$1,$D9-1,0),MATCH(J$4,'Adjust. no safeguard'!$D$10:$W$10,0))</f>
        <v>0</v>
      </c>
      <c r="K9" s="277">
        <f ca="1">INDEX(OFFSET('Adjust. no safeguard'!$D$1:$W$1,$D9-1,0),MATCH(K$4,'Adjust. no safeguard'!$D$10:$W$10,0))</f>
        <v>0</v>
      </c>
      <c r="L9" s="277">
        <f ca="1">INDEX(OFFSET('Adjust. no safeguard'!$D$1:$W$1,$D9-1,0),MATCH(L$4,'Adjust. no safeguard'!$D$10:$W$10,0))</f>
        <v>0</v>
      </c>
      <c r="M9" s="277">
        <f ca="1">INDEX(OFFSET('Adjust. no safeguard'!$D$1:$W$1,$D9-1,0),MATCH(M$4,'Adjust. no safeguard'!$D$10:$W$10,0))</f>
        <v>0</v>
      </c>
      <c r="N9" s="277">
        <f ca="1">INDEX(OFFSET('Adjust. no safeguard'!$D$1:$W$1,$D9-1,0),MATCH(N$4,'Adjust. no safeguard'!$D$10:$W$10,0))</f>
        <v>0</v>
      </c>
      <c r="O9" s="277">
        <f ca="1">INDEX(OFFSET('Adjust. no safeguard'!$D$1:$W$1,$D9-1,0),MATCH(O$4,'Adjust. no safeguard'!$D$10:$W$10,0))</f>
        <v>0</v>
      </c>
      <c r="P9" s="277">
        <f ca="1">INDEX(OFFSET('Adjust. no safeguard'!$D$1:$W$1,$D9-1,0),MATCH(P$4,'Adjust. no safeguard'!$D$10:$W$10,0))</f>
        <v>0</v>
      </c>
      <c r="Q9" s="277">
        <f ca="1">INDEX(OFFSET('Adjust. no safeguard'!$D$1:$W$1,$D9-1,0),MATCH(Q$4,'Adjust. no safeguard'!$D$10:$W$10,0))</f>
        <v>0</v>
      </c>
      <c r="R9" s="277">
        <f ca="1">INDEX(OFFSET('Adjust. no safeguard'!$D$1:$W$1,$D9-1,0),MATCH(R$4,'Adjust. no safeguard'!$D$10:$W$10,0))</f>
        <v>0</v>
      </c>
      <c r="S9" s="277">
        <f ca="1">INDEX(OFFSET('Adjust. no safeguard'!$D$1:$W$1,$D9-1,0),MATCH(S$4,'Adjust. no safeguard'!$D$10:$W$10,0))</f>
        <v>0</v>
      </c>
      <c r="T9" s="277">
        <f ca="1">INDEX(OFFSET('Adjust. no safeguard'!$D$1:$W$1,$D9-1,0),MATCH(T$4,'Adjust. no safeguard'!$D$10:$W$10,0))</f>
        <v>0</v>
      </c>
      <c r="U9" s="277">
        <f ca="1">INDEX(OFFSET('Adjust. no safeguard'!$D$1:$W$1,$D9-1,0),MATCH(U$4,'Adjust. no safeguard'!$D$10:$W$10,0))</f>
        <v>0</v>
      </c>
      <c r="V9" s="277">
        <f ca="1">INDEX(OFFSET('Adjust. no safeguard'!$D$1:$W$1,$D9-1,0),MATCH(V$4,'Adjust. no safeguard'!$D$10:$W$10,0))</f>
        <v>0</v>
      </c>
      <c r="W9" s="277">
        <f ca="1">INDEX(OFFSET('Adjust. no safeguard'!$D$1:$W$1,$D9-1,0),MATCH(W$4,'Adjust. no safeguard'!$D$10:$W$10,0))</f>
        <v>0</v>
      </c>
      <c r="X9" s="277">
        <f ca="1">INDEX(OFFSET('Adjust. no safeguard'!$D$1:$W$1,$D9-1,0),MATCH(X$4,'Adjust. no safeguard'!$D$10:$W$10,0))</f>
        <v>0</v>
      </c>
      <c r="Y9" s="191"/>
    </row>
    <row r="10" spans="1:25" x14ac:dyDescent="0.2">
      <c r="A10" s="191"/>
      <c r="B10" s="284">
        <v>6</v>
      </c>
      <c r="C10" s="288" t="s">
        <v>152</v>
      </c>
      <c r="D10" s="289">
        <v>68</v>
      </c>
      <c r="E10" s="290" t="s">
        <v>147</v>
      </c>
      <c r="F10" s="277">
        <f ca="1">INDEX(OFFSET('Adjust. no safeguard'!$D$1:$W$1,$D10-1,0),MATCH(F$4,'Adjust. no safeguard'!$D$10:$W$10,0))</f>
        <v>0.49348790772771806</v>
      </c>
      <c r="G10" s="277">
        <f ca="1">INDEX(OFFSET('Adjust. no safeguard'!$D$1:$W$1,$D10-1,0),MATCH(G$4,'Adjust. no safeguard'!$D$10:$W$10,0))</f>
        <v>0.59226754090926192</v>
      </c>
      <c r="H10" s="277">
        <f ca="1">INDEX(OFFSET('Adjust. no safeguard'!$D$1:$W$1,$D10-1,0),MATCH(H$4,'Adjust. no safeguard'!$D$10:$W$10,0))</f>
        <v>0.58261301423249778</v>
      </c>
      <c r="I10" s="277">
        <f ca="1">INDEX(OFFSET('Adjust. no safeguard'!$D$1:$W$1,$D10-1,0),MATCH(I$4,'Adjust. no safeguard'!$D$10:$W$10,0))</f>
        <v>0.54343145457662223</v>
      </c>
      <c r="J10" s="277">
        <f ca="1">INDEX(OFFSET('Adjust. no safeguard'!$D$1:$W$1,$D10-1,0),MATCH(J$4,'Adjust. no safeguard'!$D$10:$W$10,0))</f>
        <v>0.639890362277726</v>
      </c>
      <c r="K10" s="277">
        <f ca="1">INDEX(OFFSET('Adjust. no safeguard'!$D$1:$W$1,$D10-1,0),MATCH(K$4,'Adjust. no safeguard'!$D$10:$W$10,0))</f>
        <v>0.74725377358460143</v>
      </c>
      <c r="L10" s="277">
        <f ca="1">INDEX(OFFSET('Adjust. no safeguard'!$D$1:$W$1,$D10-1,0),MATCH(L$4,'Adjust. no safeguard'!$D$10:$W$10,0))</f>
        <v>0.85848007603976662</v>
      </c>
      <c r="M10" s="277">
        <f ca="1">INDEX(OFFSET('Adjust. no safeguard'!$D$1:$W$1,$D10-1,0),MATCH(M$4,'Adjust. no safeguard'!$D$10:$W$10,0))</f>
        <v>0.96742618379701484</v>
      </c>
      <c r="N10" s="277">
        <f ca="1">INDEX(OFFSET('Adjust. no safeguard'!$D$1:$W$1,$D10-1,0),MATCH(N$4,'Adjust. no safeguard'!$D$10:$W$10,0))</f>
        <v>1.0765199892293569</v>
      </c>
      <c r="O10" s="277">
        <f ca="1">INDEX(OFFSET('Adjust. no safeguard'!$D$1:$W$1,$D10-1,0),MATCH(O$4,'Adjust. no safeguard'!$D$10:$W$10,0))</f>
        <v>1.1862502708173448</v>
      </c>
      <c r="P10" s="277">
        <f ca="1">INDEX(OFFSET('Adjust. no safeguard'!$D$1:$W$1,$D10-1,0),MATCH(P$4,'Adjust. no safeguard'!$D$10:$W$10,0))</f>
        <v>1.297527386737785</v>
      </c>
      <c r="Q10" s="277">
        <f ca="1">INDEX(OFFSET('Adjust. no safeguard'!$D$1:$W$1,$D10-1,0),MATCH(Q$4,'Adjust. no safeguard'!$D$10:$W$10,0))</f>
        <v>1.4095289589972184</v>
      </c>
      <c r="R10" s="277">
        <f ca="1">INDEX(OFFSET('Adjust. no safeguard'!$D$1:$W$1,$D10-1,0),MATCH(R$4,'Adjust. no safeguard'!$D$10:$W$10,0))</f>
        <v>1.513982723422689</v>
      </c>
      <c r="S10" s="277">
        <f ca="1">INDEX(OFFSET('Adjust. no safeguard'!$D$1:$W$1,$D10-1,0),MATCH(S$4,'Adjust. no safeguard'!$D$10:$W$10,0))</f>
        <v>1.61204295873533</v>
      </c>
      <c r="T10" s="277">
        <f ca="1">INDEX(OFFSET('Adjust. no safeguard'!$D$1:$W$1,$D10-1,0),MATCH(T$4,'Adjust. no safeguard'!$D$10:$W$10,0))</f>
        <v>1.7041786952737967</v>
      </c>
      <c r="U10" s="277">
        <f ca="1">INDEX(OFFSET('Adjust. no safeguard'!$D$1:$W$1,$D10-1,0),MATCH(U$4,'Adjust. no safeguard'!$D$10:$W$10,0))</f>
        <v>1.7915969811425103</v>
      </c>
      <c r="V10" s="277">
        <f ca="1">INDEX(OFFSET('Adjust. no safeguard'!$D$1:$W$1,$D10-1,0),MATCH(V$4,'Adjust. no safeguard'!$D$10:$W$10,0))</f>
        <v>1.8747434590283738</v>
      </c>
      <c r="W10" s="277">
        <f ca="1">INDEX(OFFSET('Adjust. no safeguard'!$D$1:$W$1,$D10-1,0),MATCH(W$4,'Adjust. no safeguard'!$D$10:$W$10,0))</f>
        <v>1.9547556847175152</v>
      </c>
      <c r="X10" s="277">
        <f ca="1">INDEX(OFFSET('Adjust. no safeguard'!$D$1:$W$1,$D10-1,0),MATCH(X$4,'Adjust. no safeguard'!$D$10:$W$10,0))</f>
        <v>2.0321980561655293</v>
      </c>
      <c r="Y10" s="191"/>
    </row>
    <row r="11" spans="1:25" x14ac:dyDescent="0.2">
      <c r="A11" s="191"/>
      <c r="B11" s="284">
        <v>7</v>
      </c>
      <c r="C11" s="291" t="s">
        <v>63</v>
      </c>
      <c r="D11" s="289">
        <v>37</v>
      </c>
      <c r="E11" s="290" t="s">
        <v>153</v>
      </c>
      <c r="F11" s="277">
        <f ca="1">INDEX(OFFSET('Adjust. no safeguard'!$D$1:$W$1,$D11-1,0),MATCH(F$4,'Adjust. no safeguard'!$D$10:$W$10,0))</f>
        <v>3.75</v>
      </c>
      <c r="G11" s="277">
        <f ca="1">INDEX(OFFSET('Adjust. no safeguard'!$D$1:$W$1,$D11-1,0),MATCH(G$4,'Adjust. no safeguard'!$D$10:$W$10,0))</f>
        <v>3.9555020000000001</v>
      </c>
      <c r="H11" s="277">
        <f ca="1">INDEX(OFFSET('Adjust. no safeguard'!$D$1:$W$1,$D11-1,0),MATCH(H$4,'Adjust. no safeguard'!$D$10:$W$10,0))</f>
        <v>4.0576990000000004</v>
      </c>
      <c r="I11" s="277">
        <f ca="1">INDEX(OFFSET('Adjust. no safeguard'!$D$1:$W$1,$D11-1,0),MATCH(I$4,'Adjust. no safeguard'!$D$10:$W$10,0))</f>
        <v>4.1636879999999996</v>
      </c>
      <c r="J11" s="277">
        <f ca="1">INDEX(OFFSET('Adjust. no safeguard'!$D$1:$W$1,$D11-1,0),MATCH(J$4,'Adjust. no safeguard'!$D$10:$W$10,0))</f>
        <v>4.2805169999999997</v>
      </c>
      <c r="K11" s="277">
        <f ca="1">INDEX(OFFSET('Adjust. no safeguard'!$D$1:$W$1,$D11-1,0),MATCH(K$4,'Adjust. no safeguard'!$D$10:$W$10,0))</f>
        <v>4.3973459999999998</v>
      </c>
      <c r="L11" s="277">
        <f ca="1">INDEX(OFFSET('Adjust. no safeguard'!$D$1:$W$1,$D11-1,0),MATCH(L$4,'Adjust. no safeguard'!$D$10:$W$10,0))</f>
        <v>4.5141749999999998</v>
      </c>
      <c r="M11" s="277">
        <f ca="1">INDEX(OFFSET('Adjust. no safeguard'!$D$1:$W$1,$D11-1,0),MATCH(M$4,'Adjust. no safeguard'!$D$10:$W$10,0))</f>
        <v>4.6310039999999999</v>
      </c>
      <c r="N11" s="277">
        <f ca="1">INDEX(OFFSET('Adjust. no safeguard'!$D$1:$W$1,$D11-1,0),MATCH(N$4,'Adjust. no safeguard'!$D$10:$W$10,0))</f>
        <v>4.747833</v>
      </c>
      <c r="O11" s="277">
        <f ca="1">INDEX(OFFSET('Adjust. no safeguard'!$D$1:$W$1,$D11-1,0),MATCH(O$4,'Adjust. no safeguard'!$D$10:$W$10,0))</f>
        <v>4.864662</v>
      </c>
      <c r="P11" s="277">
        <f ca="1">INDEX(OFFSET('Adjust. no safeguard'!$D$1:$W$1,$D11-1,0),MATCH(P$4,'Adjust. no safeguard'!$D$10:$W$10,0))</f>
        <v>4.9814910000000001</v>
      </c>
      <c r="Q11" s="277">
        <f ca="1">INDEX(OFFSET('Adjust. no safeguard'!$D$1:$W$1,$D11-1,0),MATCH(Q$4,'Adjust. no safeguard'!$D$10:$W$10,0))</f>
        <v>5.0983200000000002</v>
      </c>
      <c r="R11" s="277">
        <f ca="1">INDEX(OFFSET('Adjust. no safeguard'!$D$1:$W$1,$D11-1,0),MATCH(R$4,'Adjust. no safeguard'!$D$10:$W$10,0))</f>
        <v>5.0434039999999998</v>
      </c>
      <c r="S11" s="277">
        <f ca="1">INDEX(OFFSET('Adjust. no safeguard'!$D$1:$W$1,$D11-1,0),MATCH(S$4,'Adjust. no safeguard'!$D$10:$W$10,0))</f>
        <v>4.9884880000000003</v>
      </c>
      <c r="T11" s="277">
        <f ca="1">INDEX(OFFSET('Adjust. no safeguard'!$D$1:$W$1,$D11-1,0),MATCH(T$4,'Adjust. no safeguard'!$D$10:$W$10,0))</f>
        <v>4.9335719999999998</v>
      </c>
      <c r="U11" s="277">
        <f ca="1">INDEX(OFFSET('Adjust. no safeguard'!$D$1:$W$1,$D11-1,0),MATCH(U$4,'Adjust. no safeguard'!$D$10:$W$10,0))</f>
        <v>4.8786560000000003</v>
      </c>
      <c r="V11" s="277">
        <f ca="1">INDEX(OFFSET('Adjust. no safeguard'!$D$1:$W$1,$D11-1,0),MATCH(V$4,'Adjust. no safeguard'!$D$10:$W$10,0))</f>
        <v>4.8237399999999999</v>
      </c>
      <c r="W11" s="277">
        <f ca="1">INDEX(OFFSET('Adjust. no safeguard'!$D$1:$W$1,$D11-1,0),MATCH(W$4,'Adjust. no safeguard'!$D$10:$W$10,0))</f>
        <v>4.7688240000000004</v>
      </c>
      <c r="X11" s="277">
        <f ca="1">INDEX(OFFSET('Adjust. no safeguard'!$D$1:$W$1,$D11-1,0),MATCH(X$4,'Adjust. no safeguard'!$D$10:$W$10,0))</f>
        <v>4.713908</v>
      </c>
      <c r="Y11" s="191"/>
    </row>
    <row r="12" spans="1:25" x14ac:dyDescent="0.2">
      <c r="A12" s="191"/>
      <c r="B12" s="284">
        <v>8</v>
      </c>
      <c r="C12" s="291" t="s">
        <v>64</v>
      </c>
      <c r="D12" s="289">
        <v>38</v>
      </c>
      <c r="E12" s="290" t="s">
        <v>153</v>
      </c>
      <c r="F12" s="277">
        <f ca="1">INDEX(OFFSET('Adjust. no safeguard'!$D$1:$W$1,$D12-1,0),MATCH(F$4,'Adjust. no safeguard'!$D$10:$W$10,0))</f>
        <v>2.7915420000000002</v>
      </c>
      <c r="G12" s="277">
        <f ca="1">INDEX(OFFSET('Adjust. no safeguard'!$D$1:$W$1,$D12-1,0),MATCH(G$4,'Adjust. no safeguard'!$D$10:$W$10,0))</f>
        <v>2.8907919999999998</v>
      </c>
      <c r="H12" s="277">
        <f ca="1">INDEX(OFFSET('Adjust. no safeguard'!$D$1:$W$1,$D12-1,0),MATCH(H$4,'Adjust. no safeguard'!$D$10:$W$10,0))</f>
        <v>1.427792</v>
      </c>
      <c r="I12" s="277">
        <f ca="1">INDEX(OFFSET('Adjust. no safeguard'!$D$1:$W$1,$D12-1,0),MATCH(I$4,'Adjust. no safeguard'!$D$10:$W$10,0))</f>
        <v>1.3572919999999999</v>
      </c>
      <c r="J12" s="277">
        <f ca="1">INDEX(OFFSET('Adjust. no safeguard'!$D$1:$W$1,$D12-1,0),MATCH(J$4,'Adjust. no safeguard'!$D$10:$W$10,0))</f>
        <v>1.5327305</v>
      </c>
      <c r="K12" s="277">
        <f ca="1">INDEX(OFFSET('Adjust. no safeguard'!$D$1:$W$1,$D12-1,0),MATCH(K$4,'Adjust. no safeguard'!$D$10:$W$10,0))</f>
        <v>1.708169</v>
      </c>
      <c r="L12" s="277">
        <f ca="1">INDEX(OFFSET('Adjust. no safeguard'!$D$1:$W$1,$D12-1,0),MATCH(L$4,'Adjust. no safeguard'!$D$10:$W$10,0))</f>
        <v>1.8836075000000001</v>
      </c>
      <c r="M12" s="277">
        <f ca="1">INDEX(OFFSET('Adjust. no safeguard'!$D$1:$W$1,$D12-1,0),MATCH(M$4,'Adjust. no safeguard'!$D$10:$W$10,0))</f>
        <v>2.0590459999999999</v>
      </c>
      <c r="N12" s="277">
        <f ca="1">INDEX(OFFSET('Adjust. no safeguard'!$D$1:$W$1,$D12-1,0),MATCH(N$4,'Adjust. no safeguard'!$D$10:$W$10,0))</f>
        <v>2.2344844999999998</v>
      </c>
      <c r="O12" s="277">
        <f ca="1">INDEX(OFFSET('Adjust. no safeguard'!$D$1:$W$1,$D12-1,0),MATCH(O$4,'Adjust. no safeguard'!$D$10:$W$10,0))</f>
        <v>2.4099229999999996</v>
      </c>
      <c r="P12" s="277">
        <f ca="1">INDEX(OFFSET('Adjust. no safeguard'!$D$1:$W$1,$D12-1,0),MATCH(P$4,'Adjust. no safeguard'!$D$10:$W$10,0))</f>
        <v>2.5853614999999994</v>
      </c>
      <c r="Q12" s="277">
        <f ca="1">INDEX(OFFSET('Adjust. no safeguard'!$D$1:$W$1,$D12-1,0),MATCH(Q$4,'Adjust. no safeguard'!$D$10:$W$10,0))</f>
        <v>2.7608000000000001</v>
      </c>
      <c r="R12" s="277">
        <f ca="1">INDEX(OFFSET('Adjust. no safeguard'!$D$1:$W$1,$D12-1,0),MATCH(R$4,'Adjust. no safeguard'!$D$10:$W$10,0))</f>
        <v>2.7227600000000001</v>
      </c>
      <c r="S12" s="277">
        <f ca="1">INDEX(OFFSET('Adjust. no safeguard'!$D$1:$W$1,$D12-1,0),MATCH(S$4,'Adjust. no safeguard'!$D$10:$W$10,0))</f>
        <v>2.68472</v>
      </c>
      <c r="T12" s="277">
        <f ca="1">INDEX(OFFSET('Adjust. no safeguard'!$D$1:$W$1,$D12-1,0),MATCH(T$4,'Adjust. no safeguard'!$D$10:$W$10,0))</f>
        <v>2.6466799999999999</v>
      </c>
      <c r="U12" s="277">
        <f ca="1">INDEX(OFFSET('Adjust. no safeguard'!$D$1:$W$1,$D12-1,0),MATCH(U$4,'Adjust. no safeguard'!$D$10:$W$10,0))</f>
        <v>2.6086400000000003</v>
      </c>
      <c r="V12" s="277">
        <f ca="1">INDEX(OFFSET('Adjust. no safeguard'!$D$1:$W$1,$D12-1,0),MATCH(V$4,'Adjust. no safeguard'!$D$10:$W$10,0))</f>
        <v>2.5706000000000002</v>
      </c>
      <c r="W12" s="277">
        <f ca="1">INDEX(OFFSET('Adjust. no safeguard'!$D$1:$W$1,$D12-1,0),MATCH(W$4,'Adjust. no safeguard'!$D$10:$W$10,0))</f>
        <v>2.5325600000000001</v>
      </c>
      <c r="X12" s="277">
        <f ca="1">INDEX(OFFSET('Adjust. no safeguard'!$D$1:$W$1,$D12-1,0),MATCH(X$4,'Adjust. no safeguard'!$D$10:$W$10,0))</f>
        <v>2.4945200000000001</v>
      </c>
      <c r="Y12" s="191"/>
    </row>
    <row r="13" spans="1:25" x14ac:dyDescent="0.2">
      <c r="A13" s="191"/>
      <c r="B13" s="284">
        <v>9</v>
      </c>
      <c r="C13" s="288" t="s">
        <v>154</v>
      </c>
      <c r="D13" s="289">
        <v>36</v>
      </c>
      <c r="E13" s="290" t="s">
        <v>153</v>
      </c>
      <c r="F13" s="277">
        <f ca="1">INDEX(OFFSET('Adjust. no safeguard'!$D$1:$W$1,$D13-1,0),MATCH(F$4,'Adjust. no safeguard'!$D$10:$W$10,0))</f>
        <v>2.4150100000000001</v>
      </c>
      <c r="G13" s="277">
        <f ca="1">INDEX(OFFSET('Adjust. no safeguard'!$D$1:$W$1,$D13-1,0),MATCH(G$4,'Adjust. no safeguard'!$D$10:$W$10,0))</f>
        <v>2.7772610000000002</v>
      </c>
      <c r="H13" s="277">
        <f ca="1">INDEX(OFFSET('Adjust. no safeguard'!$D$1:$W$1,$D13-1,0),MATCH(H$4,'Adjust. no safeguard'!$D$10:$W$10,0))</f>
        <v>2.4995349999999998</v>
      </c>
      <c r="I13" s="277">
        <f ca="1">INDEX(OFFSET('Adjust. no safeguard'!$D$1:$W$1,$D13-1,0),MATCH(I$4,'Adjust. no safeguard'!$D$10:$W$10,0))</f>
        <v>2.499554621800022</v>
      </c>
      <c r="J13" s="277">
        <f ca="1">INDEX(OFFSET('Adjust. no safeguard'!$D$1:$W$1,$D13-1,0),MATCH(J$4,'Adjust. no safeguard'!$D$10:$W$10,0))</f>
        <v>2.7926776612846349</v>
      </c>
      <c r="K13" s="277">
        <f ca="1">INDEX(OFFSET('Adjust. no safeguard'!$D$1:$W$1,$D13-1,0),MATCH(K$4,'Adjust. no safeguard'!$D$10:$W$10,0))</f>
        <v>3.0625941070404386</v>
      </c>
      <c r="L13" s="277">
        <f ca="1">INDEX(OFFSET('Adjust. no safeguard'!$D$1:$W$1,$D13-1,0),MATCH(L$4,'Adjust. no safeguard'!$D$10:$W$10,0))</f>
        <v>3.3033300896154638</v>
      </c>
      <c r="M13" s="277">
        <f ca="1">INDEX(OFFSET('Adjust. no safeguard'!$D$1:$W$1,$D13-1,0),MATCH(M$4,'Adjust. no safeguard'!$D$10:$W$10,0))</f>
        <v>3.5144344826625002</v>
      </c>
      <c r="N13" s="277">
        <f ca="1">INDEX(OFFSET('Adjust. no safeguard'!$D$1:$W$1,$D13-1,0),MATCH(N$4,'Adjust. no safeguard'!$D$10:$W$10,0))</f>
        <v>3.7029369986444638</v>
      </c>
      <c r="O13" s="277">
        <f ca="1">INDEX(OFFSET('Adjust. no safeguard'!$D$1:$W$1,$D13-1,0),MATCH(O$4,'Adjust. no safeguard'!$D$10:$W$10,0))</f>
        <v>3.8739409019417423</v>
      </c>
      <c r="P13" s="277">
        <f ca="1">INDEX(OFFSET('Adjust. no safeguard'!$D$1:$W$1,$D13-1,0),MATCH(P$4,'Adjust. no safeguard'!$D$10:$W$10,0))</f>
        <v>4.0312002888486678</v>
      </c>
      <c r="Q13" s="277">
        <f ca="1">INDEX(OFFSET('Adjust. no safeguard'!$D$1:$W$1,$D13-1,0),MATCH(Q$4,'Adjust. no safeguard'!$D$10:$W$10,0))</f>
        <v>4.1772448598488365</v>
      </c>
      <c r="R13" s="277">
        <f ca="1">INDEX(OFFSET('Adjust. no safeguard'!$D$1:$W$1,$D13-1,0),MATCH(R$4,'Adjust. no safeguard'!$D$10:$W$10,0))</f>
        <v>4.2914684211837368</v>
      </c>
      <c r="S13" s="277">
        <f ca="1">INDEX(OFFSET('Adjust. no safeguard'!$D$1:$W$1,$D13-1,0),MATCH(S$4,'Adjust. no safeguard'!$D$10:$W$10,0))</f>
        <v>4.3816141772308947</v>
      </c>
      <c r="T13" s="277">
        <f ca="1">INDEX(OFFSET('Adjust. no safeguard'!$D$1:$W$1,$D13-1,0),MATCH(T$4,'Adjust. no safeguard'!$D$10:$W$10,0))</f>
        <v>4.4517008840901573</v>
      </c>
      <c r="U13" s="277">
        <f ca="1">INDEX(OFFSET('Adjust. no safeguard'!$D$1:$W$1,$D13-1,0),MATCH(U$4,'Adjust. no safeguard'!$D$10:$W$10,0))</f>
        <v>4.5048668274890122</v>
      </c>
      <c r="V13" s="277">
        <f ca="1">INDEX(OFFSET('Adjust. no safeguard'!$D$1:$W$1,$D13-1,0),MATCH(V$4,'Adjust. no safeguard'!$D$10:$W$10,0))</f>
        <v>4.5438201456468592</v>
      </c>
      <c r="W13" s="277">
        <f ca="1">INDEX(OFFSET('Adjust. no safeguard'!$D$1:$W$1,$D13-1,0),MATCH(W$4,'Adjust. no safeguard'!$D$10:$W$10,0))</f>
        <v>4.5708411285979125</v>
      </c>
      <c r="X13" s="277">
        <f ca="1">INDEX(OFFSET('Adjust. no safeguard'!$D$1:$W$1,$D13-1,0),MATCH(X$4,'Adjust. no safeguard'!$D$10:$W$10,0))</f>
        <v>4.5876708051906281</v>
      </c>
      <c r="Y13" s="191"/>
    </row>
    <row r="14" spans="1:25" x14ac:dyDescent="0.2">
      <c r="A14" s="191"/>
      <c r="B14" s="284">
        <v>10</v>
      </c>
      <c r="C14" s="288" t="s">
        <v>155</v>
      </c>
      <c r="D14" s="289">
        <v>72</v>
      </c>
      <c r="E14" s="290" t="s">
        <v>147</v>
      </c>
      <c r="F14" s="277">
        <f ca="1">INDEX(OFFSET('Adjust. no safeguard'!$D$1:$W$1,$D14-1,0),MATCH(F$4,'Adjust. no safeguard'!$D$10:$W$10,0))</f>
        <v>0.4477447</v>
      </c>
      <c r="G14" s="277">
        <f ca="1">INDEX(OFFSET('Adjust. no safeguard'!$D$1:$W$1,$D14-1,0),MATCH(G$4,'Adjust. no safeguard'!$D$10:$W$10,0))</f>
        <v>0.53785850000000002</v>
      </c>
      <c r="H14" s="277">
        <f ca="1">INDEX(OFFSET('Adjust. no safeguard'!$D$1:$W$1,$D14-1,0),MATCH(H$4,'Adjust. no safeguard'!$D$10:$W$10,0))</f>
        <v>-2.9595989999999999</v>
      </c>
      <c r="I14" s="277">
        <f ca="1">INDEX(OFFSET('Adjust. no safeguard'!$D$1:$W$1,$D14-1,0),MATCH(I$4,'Adjust. no safeguard'!$D$10:$W$10,0))</f>
        <v>-0.14993790000000001</v>
      </c>
      <c r="J14" s="277">
        <f ca="1">INDEX(OFFSET('Adjust. no safeguard'!$D$1:$W$1,$D14-1,0),MATCH(J$4,'Adjust. no safeguard'!$D$10:$W$10,0))</f>
        <v>0</v>
      </c>
      <c r="K14" s="277">
        <f ca="1">INDEX(OFFSET('Adjust. no safeguard'!$D$1:$W$1,$D14-1,0),MATCH(K$4,'Adjust. no safeguard'!$D$10:$W$10,0))</f>
        <v>0</v>
      </c>
      <c r="L14" s="277">
        <f ca="1">INDEX(OFFSET('Adjust. no safeguard'!$D$1:$W$1,$D14-1,0),MATCH(L$4,'Adjust. no safeguard'!$D$10:$W$10,0))</f>
        <v>0</v>
      </c>
      <c r="M14" s="277">
        <f ca="1">INDEX(OFFSET('Adjust. no safeguard'!$D$1:$W$1,$D14-1,0),MATCH(M$4,'Adjust. no safeguard'!$D$10:$W$10,0))</f>
        <v>0</v>
      </c>
      <c r="N14" s="277">
        <f ca="1">INDEX(OFFSET('Adjust. no safeguard'!$D$1:$W$1,$D14-1,0),MATCH(N$4,'Adjust. no safeguard'!$D$10:$W$10,0))</f>
        <v>0</v>
      </c>
      <c r="O14" s="277">
        <f ca="1">INDEX(OFFSET('Adjust. no safeguard'!$D$1:$W$1,$D14-1,0),MATCH(O$4,'Adjust. no safeguard'!$D$10:$W$10,0))</f>
        <v>0</v>
      </c>
      <c r="P14" s="277">
        <f ca="1">INDEX(OFFSET('Adjust. no safeguard'!$D$1:$W$1,$D14-1,0),MATCH(P$4,'Adjust. no safeguard'!$D$10:$W$10,0))</f>
        <v>0</v>
      </c>
      <c r="Q14" s="277">
        <f ca="1">INDEX(OFFSET('Adjust. no safeguard'!$D$1:$W$1,$D14-1,0),MATCH(Q$4,'Adjust. no safeguard'!$D$10:$W$10,0))</f>
        <v>0</v>
      </c>
      <c r="R14" s="277">
        <f ca="1">INDEX(OFFSET('Adjust. no safeguard'!$D$1:$W$1,$D14-1,0),MATCH(R$4,'Adjust. no safeguard'!$D$10:$W$10,0))</f>
        <v>0</v>
      </c>
      <c r="S14" s="277">
        <f ca="1">INDEX(OFFSET('Adjust. no safeguard'!$D$1:$W$1,$D14-1,0),MATCH(S$4,'Adjust. no safeguard'!$D$10:$W$10,0))</f>
        <v>0</v>
      </c>
      <c r="T14" s="277">
        <f ca="1">INDEX(OFFSET('Adjust. no safeguard'!$D$1:$W$1,$D14-1,0),MATCH(T$4,'Adjust. no safeguard'!$D$10:$W$10,0))</f>
        <v>0</v>
      </c>
      <c r="U14" s="277">
        <f ca="1">INDEX(OFFSET('Adjust. no safeguard'!$D$1:$W$1,$D14-1,0),MATCH(U$4,'Adjust. no safeguard'!$D$10:$W$10,0))</f>
        <v>0</v>
      </c>
      <c r="V14" s="277">
        <f ca="1">INDEX(OFFSET('Adjust. no safeguard'!$D$1:$W$1,$D14-1,0),MATCH(V$4,'Adjust. no safeguard'!$D$10:$W$10,0))</f>
        <v>0</v>
      </c>
      <c r="W14" s="277">
        <f ca="1">INDEX(OFFSET('Adjust. no safeguard'!$D$1:$W$1,$D14-1,0),MATCH(W$4,'Adjust. no safeguard'!$D$10:$W$10,0))</f>
        <v>0</v>
      </c>
      <c r="X14" s="277">
        <f ca="1">INDEX(OFFSET('Adjust. no safeguard'!$D$1:$W$1,$D14-1,0),MATCH(X$4,'Adjust. no safeguard'!$D$10:$W$10,0))</f>
        <v>0</v>
      </c>
      <c r="Y14" s="191"/>
    </row>
    <row r="15" spans="1:25" x14ac:dyDescent="0.2">
      <c r="A15" s="191"/>
      <c r="B15" s="284">
        <v>11</v>
      </c>
      <c r="C15" s="292" t="s">
        <v>40</v>
      </c>
      <c r="D15" s="289">
        <v>27</v>
      </c>
      <c r="E15" s="290" t="s">
        <v>156</v>
      </c>
      <c r="F15" s="277">
        <f ca="1">(INDEX(OFFSET('Adjust. no safeguard'!$D$1:$W$1,$D15-1,0),MATCH(F$4,'Adjust. no safeguard'!$D$10:$W$10,0))/INDEX(OFFSET('Adjust. no safeguard'!$D$1:$W$1,$D15-1,0),MATCH(E$4,'Adjust. no safeguard'!$D$10:$W$10,0))-1)*100</f>
        <v>2.7298700000000009</v>
      </c>
      <c r="G15" s="277">
        <f ca="1">(INDEX(OFFSET('Adjust. no safeguard'!$D$1:$W$1,$D15-1,0),MATCH(G$4,'Adjust. no safeguard'!$D$10:$W$10,0))/INDEX(OFFSET('Adjust. no safeguard'!$D$1:$W$1,$D15-1,0),MATCH(F$4,'Adjust. no safeguard'!$D$10:$W$10,0))-1)*100</f>
        <v>3.162935999999994</v>
      </c>
      <c r="H15" s="277">
        <f ca="1">(INDEX(OFFSET('Adjust. no safeguard'!$D$1:$W$1,$D15-1,0),MATCH(H$4,'Adjust. no safeguard'!$D$10:$W$10,0))/INDEX(OFFSET('Adjust. no safeguard'!$D$1:$W$1,$D15-1,0),MATCH(G$4,'Adjust. no safeguard'!$D$10:$W$10,0))-1)*100</f>
        <v>2.7749940000000084</v>
      </c>
      <c r="I15" s="277">
        <f ca="1">(INDEX(OFFSET('Adjust. no safeguard'!$D$1:$W$1,$D15-1,0),MATCH(I$4,'Adjust. no safeguard'!$D$10:$W$10,0))/INDEX(OFFSET('Adjust. no safeguard'!$D$1:$W$1,$D15-1,0),MATCH(H$4,'Adjust. no safeguard'!$D$10:$W$10,0))-1)*100</f>
        <v>2.4398549999999908</v>
      </c>
      <c r="J15" s="277">
        <f ca="1">(INDEX(OFFSET('Adjust. no safeguard'!$D$1:$W$1,$D15-1,0),MATCH(J$4,'Adjust. no safeguard'!$D$10:$W$10,0))/INDEX(OFFSET('Adjust. no safeguard'!$D$1:$W$1,$D15-1,0),MATCH(I$4,'Adjust. no safeguard'!$D$10:$W$10,0))-1)*100</f>
        <v>2.4153290000000105</v>
      </c>
      <c r="K15" s="277">
        <f ca="1">(INDEX(OFFSET('Adjust. no safeguard'!$D$1:$W$1,$D15-1,0),MATCH(K$4,'Adjust. no safeguard'!$D$10:$W$10,0))/INDEX(OFFSET('Adjust. no safeguard'!$D$1:$W$1,$D15-1,0),MATCH(J$4,'Adjust. no safeguard'!$D$10:$W$10,0))-1)*100</f>
        <v>2.1204339999999933</v>
      </c>
      <c r="L15" s="277">
        <f ca="1">(INDEX(OFFSET('Adjust. no safeguard'!$D$1:$W$1,$D15-1,0),MATCH(L$4,'Adjust. no safeguard'!$D$10:$W$10,0))/INDEX(OFFSET('Adjust. no safeguard'!$D$1:$W$1,$D15-1,0),MATCH(K$4,'Adjust. no safeguard'!$D$10:$W$10,0))-1)*100</f>
        <v>2.1205850000000082</v>
      </c>
      <c r="M15" s="277">
        <f ca="1">(INDEX(OFFSET('Adjust. no safeguard'!$D$1:$W$1,$D15-1,0),MATCH(M$4,'Adjust. no safeguard'!$D$10:$W$10,0))/INDEX(OFFSET('Adjust. no safeguard'!$D$1:$W$1,$D15-1,0),MATCH(L$4,'Adjust. no safeguard'!$D$10:$W$10,0))-1)*100</f>
        <v>1.9756450000000036</v>
      </c>
      <c r="N15" s="277">
        <f ca="1">(INDEX(OFFSET('Adjust. no safeguard'!$D$1:$W$1,$D15-1,0),MATCH(N$4,'Adjust. no safeguard'!$D$10:$W$10,0))/INDEX(OFFSET('Adjust. no safeguard'!$D$1:$W$1,$D15-1,0),MATCH(M$4,'Adjust. no safeguard'!$D$10:$W$10,0))-1)*100</f>
        <v>1.8373870000000014</v>
      </c>
      <c r="O15" s="277">
        <f ca="1">(INDEX(OFFSET('Adjust. no safeguard'!$D$1:$W$1,$D15-1,0),MATCH(O$4,'Adjust. no safeguard'!$D$10:$W$10,0))/INDEX(OFFSET('Adjust. no safeguard'!$D$1:$W$1,$D15-1,0),MATCH(N$4,'Adjust. no safeguard'!$D$10:$W$10,0))-1)*100</f>
        <v>1.742982000000004</v>
      </c>
      <c r="P15" s="277">
        <f ca="1">(INDEX(OFFSET('Adjust. no safeguard'!$D$1:$W$1,$D15-1,0),MATCH(P$4,'Adjust. no safeguard'!$D$10:$W$10,0))/INDEX(OFFSET('Adjust. no safeguard'!$D$1:$W$1,$D15-1,0),MATCH(O$4,'Adjust. no safeguard'!$D$10:$W$10,0))-1)*100</f>
        <v>1.6372210000000109</v>
      </c>
      <c r="Q15" s="277">
        <f ca="1">(INDEX(OFFSET('Adjust. no safeguard'!$D$1:$W$1,$D15-1,0),MATCH(Q$4,'Adjust. no safeguard'!$D$10:$W$10,0))/INDEX(OFFSET('Adjust. no safeguard'!$D$1:$W$1,$D15-1,0),MATCH(P$4,'Adjust. no safeguard'!$D$10:$W$10,0))-1)*100</f>
        <v>1.6061869999999923</v>
      </c>
      <c r="R15" s="277">
        <f ca="1">(INDEX(OFFSET('Adjust. no safeguard'!$D$1:$W$1,$D15-1,0),MATCH(R$4,'Adjust. no safeguard'!$D$10:$W$10,0))/INDEX(OFFSET('Adjust. no safeguard'!$D$1:$W$1,$D15-1,0),MATCH(Q$4,'Adjust. no safeguard'!$D$10:$W$10,0))-1)*100</f>
        <v>1.6009649999999986</v>
      </c>
      <c r="S15" s="277">
        <f ca="1">(INDEX(OFFSET('Adjust. no safeguard'!$D$1:$W$1,$D15-1,0),MATCH(S$4,'Adjust. no safeguard'!$D$10:$W$10,0))/INDEX(OFFSET('Adjust. no safeguard'!$D$1:$W$1,$D15-1,0),MATCH(R$4,'Adjust. no safeguard'!$D$10:$W$10,0))-1)*100</f>
        <v>1.595743000000005</v>
      </c>
      <c r="T15" s="277">
        <f ca="1">(INDEX(OFFSET('Adjust. no safeguard'!$D$1:$W$1,$D15-1,0),MATCH(T$4,'Adjust. no safeguard'!$D$10:$W$10,0))/INDEX(OFFSET('Adjust. no safeguard'!$D$1:$W$1,$D15-1,0),MATCH(S$4,'Adjust. no safeguard'!$D$10:$W$10,0))-1)*100</f>
        <v>1.5905209999999892</v>
      </c>
      <c r="U15" s="277">
        <f ca="1">(INDEX(OFFSET('Adjust. no safeguard'!$D$1:$W$1,$D15-1,0),MATCH(U$4,'Adjust. no safeguard'!$D$10:$W$10,0))/INDEX(OFFSET('Adjust. no safeguard'!$D$1:$W$1,$D15-1,0),MATCH(T$4,'Adjust. no safeguard'!$D$10:$W$10,0))-1)*100</f>
        <v>1.5116609999999975</v>
      </c>
      <c r="V15" s="277">
        <f ca="1">(INDEX(OFFSET('Adjust. no safeguard'!$D$1:$W$1,$D15-1,0),MATCH(V$4,'Adjust. no safeguard'!$D$10:$W$10,0))/INDEX(OFFSET('Adjust. no safeguard'!$D$1:$W$1,$D15-1,0),MATCH(U$4,'Adjust. no safeguard'!$D$10:$W$10,0))-1)*100</f>
        <v>1.4425740000000076</v>
      </c>
      <c r="W15" s="277">
        <f ca="1">(INDEX(OFFSET('Adjust. no safeguard'!$D$1:$W$1,$D15-1,0),MATCH(W$4,'Adjust. no safeguard'!$D$10:$W$10,0))/INDEX(OFFSET('Adjust. no safeguard'!$D$1:$W$1,$D15-1,0),MATCH(V$4,'Adjust. no safeguard'!$D$10:$W$10,0))-1)*100</f>
        <v>1.3870279999999902</v>
      </c>
      <c r="X15" s="277">
        <f ca="1">(INDEX(OFFSET('Adjust. no safeguard'!$D$1:$W$1,$D15-1,0),MATCH(X$4,'Adjust. no safeguard'!$D$10:$W$10,0))/INDEX(OFFSET('Adjust. no safeguard'!$D$1:$W$1,$D15-1,0),MATCH(W$4,'Adjust. no safeguard'!$D$10:$W$10,0))-1)*100</f>
        <v>1.3380249999999982</v>
      </c>
      <c r="Y15" s="191"/>
    </row>
    <row r="16" spans="1:25" x14ac:dyDescent="0.2">
      <c r="A16" s="191"/>
      <c r="B16" s="284">
        <v>12</v>
      </c>
      <c r="C16" s="280" t="s">
        <v>157</v>
      </c>
      <c r="D16" s="289">
        <v>24</v>
      </c>
      <c r="E16" s="290" t="s">
        <v>156</v>
      </c>
      <c r="F16" s="277">
        <f ca="1">INDEX(OFFSET('Adjust. no safeguard'!$D$1:$W$1,$D16-1,0),MATCH(F$4,'Adjust. no safeguard'!$D$10:$W$10,0))</f>
        <v>1.886822</v>
      </c>
      <c r="G16" s="277">
        <f ca="1">INDEX(OFFSET('Adjust. no safeguard'!$D$1:$W$1,$D16-1,0),MATCH(G$4,'Adjust. no safeguard'!$D$10:$W$10,0))</f>
        <v>2.4116029999999999</v>
      </c>
      <c r="H16" s="277">
        <f ca="1">INDEX(OFFSET('Adjust. no safeguard'!$D$1:$W$1,$D16-1,0),MATCH(H$4,'Adjust. no safeguard'!$D$10:$W$10,0))</f>
        <v>2.7080390000000065</v>
      </c>
      <c r="I16" s="277">
        <f ca="1">INDEX(OFFSET('Adjust. no safeguard'!$D$1:$W$1,$D16-1,0),MATCH(I$4,'Adjust. no safeguard'!$D$10:$W$10,0))</f>
        <v>2.9032589999999914</v>
      </c>
      <c r="J16" s="277">
        <f ca="1">INDEX(OFFSET('Adjust. no safeguard'!$D$1:$W$1,$D16-1,0),MATCH(J$4,'Adjust. no safeguard'!$D$10:$W$10,0))</f>
        <v>2.2260340000000101</v>
      </c>
      <c r="K16" s="277">
        <f ca="1">INDEX(OFFSET('Adjust. no safeguard'!$D$1:$W$1,$D16-1,0),MATCH(K$4,'Adjust. no safeguard'!$D$10:$W$10,0))</f>
        <v>1.9313329999999906</v>
      </c>
      <c r="L16" s="277">
        <f ca="1">INDEX(OFFSET('Adjust. no safeguard'!$D$1:$W$1,$D16-1,0),MATCH(L$4,'Adjust. no safeguard'!$D$10:$W$10,0))</f>
        <v>1.9311349999999949</v>
      </c>
      <c r="M16" s="277">
        <f ca="1">INDEX(OFFSET('Adjust. no safeguard'!$D$1:$W$1,$D16-1,0),MATCH(M$4,'Adjust. no safeguard'!$D$10:$W$10,0))</f>
        <v>1.9756419999999997</v>
      </c>
      <c r="N16" s="277">
        <f ca="1">INDEX(OFFSET('Adjust. no safeguard'!$D$1:$W$1,$D16-1,0),MATCH(N$4,'Adjust. no safeguard'!$D$10:$W$10,0))</f>
        <v>1.8373889999999893</v>
      </c>
      <c r="O16" s="277">
        <f ca="1">INDEX(OFFSET('Adjust. no safeguard'!$D$1:$W$1,$D16-1,0),MATCH(O$4,'Adjust. no safeguard'!$D$10:$W$10,0))</f>
        <v>1.7429810000000101</v>
      </c>
      <c r="P16" s="277">
        <f ca="1">INDEX(OFFSET('Adjust. no safeguard'!$D$1:$W$1,$D16-1,0),MATCH(P$4,'Adjust. no safeguard'!$D$10:$W$10,0))</f>
        <v>1.6372229999999988</v>
      </c>
      <c r="Q16" s="277">
        <f ca="1">INDEX(OFFSET('Adjust. no safeguard'!$D$1:$W$1,$D16-1,0),MATCH(Q$4,'Adjust. no safeguard'!$D$10:$W$10,0))</f>
        <v>1.6061850000000044</v>
      </c>
      <c r="R16" s="277">
        <f ca="1">INDEX(OFFSET('Adjust. no safeguard'!$D$1:$W$1,$D16-1,0),MATCH(R$4,'Adjust. no safeguard'!$D$10:$W$10,0))</f>
        <v>1.6009680000000026</v>
      </c>
      <c r="S16" s="277">
        <f ca="1">INDEX(OFFSET('Adjust. no safeguard'!$D$1:$W$1,$D16-1,0),MATCH(S$4,'Adjust. no safeguard'!$D$10:$W$10,0))</f>
        <v>1.595737999999991</v>
      </c>
      <c r="T16" s="277">
        <f ca="1">INDEX(OFFSET('Adjust. no safeguard'!$D$1:$W$1,$D16-1,0),MATCH(T$4,'Adjust. no safeguard'!$D$10:$W$10,0))</f>
        <v>1.5905250000000093</v>
      </c>
      <c r="U16" s="277">
        <f ca="1">INDEX(OFFSET('Adjust. no safeguard'!$D$1:$W$1,$D16-1,0),MATCH(U$4,'Adjust. no safeguard'!$D$10:$W$10,0))</f>
        <v>1.5116609999999975</v>
      </c>
      <c r="V16" s="277">
        <f ca="1">INDEX(OFFSET('Adjust. no safeguard'!$D$1:$W$1,$D16-1,0),MATCH(V$4,'Adjust. no safeguard'!$D$10:$W$10,0))</f>
        <v>1.4425759999999954</v>
      </c>
      <c r="W16" s="277">
        <f ca="1">INDEX(OFFSET('Adjust. no safeguard'!$D$1:$W$1,$D16-1,0),MATCH(W$4,'Adjust. no safeguard'!$D$10:$W$10,0))</f>
        <v>1.3870300000000002</v>
      </c>
      <c r="X16" s="277">
        <f ca="1">INDEX(OFFSET('Adjust. no safeguard'!$D$1:$W$1,$D16-1,0),MATCH(X$4,'Adjust. no safeguard'!$D$10:$W$10,0))</f>
        <v>1.3380289999999961</v>
      </c>
      <c r="Y16" s="191"/>
    </row>
    <row r="17" spans="1:25" x14ac:dyDescent="0.2">
      <c r="A17" s="191"/>
      <c r="B17" s="284">
        <v>13</v>
      </c>
      <c r="C17" s="293" t="s">
        <v>158</v>
      </c>
      <c r="D17" s="289">
        <v>42</v>
      </c>
      <c r="E17" s="290" t="s">
        <v>156</v>
      </c>
      <c r="F17" s="277">
        <f ca="1">INDEX(OFFSET('Adjust. no safeguard'!$D$1:$W$1,$D17-1,0),MATCH(F$4,'Adjust. no safeguard'!$D$10:$W$10,0))</f>
        <v>7.9842040000000001</v>
      </c>
      <c r="G17" s="277">
        <f ca="1">INDEX(OFFSET('Adjust. no safeguard'!$D$1:$W$1,$D17-1,0),MATCH(G$4,'Adjust. no safeguard'!$D$10:$W$10,0))</f>
        <v>4.782108</v>
      </c>
      <c r="H17" s="277">
        <f ca="1">INDEX(OFFSET('Adjust. no safeguard'!$D$1:$W$1,$D17-1,0),MATCH(H$4,'Adjust. no safeguard'!$D$10:$W$10,0))</f>
        <v>2.3179340000000002</v>
      </c>
      <c r="I17" s="277">
        <f ca="1">INDEX(OFFSET('Adjust. no safeguard'!$D$1:$W$1,$D17-1,0),MATCH(I$4,'Adjust. no safeguard'!$D$10:$W$10,0))</f>
        <v>2.7635109999999998</v>
      </c>
      <c r="J17" s="277">
        <f ca="1">INDEX(OFFSET('Adjust. no safeguard'!$D$1:$W$1,$D17-1,0),MATCH(J$4,'Adjust. no safeguard'!$D$10:$W$10,0))</f>
        <v>2.7118221249999999</v>
      </c>
      <c r="K17" s="277">
        <f ca="1">INDEX(OFFSET('Adjust. no safeguard'!$D$1:$W$1,$D17-1,0),MATCH(K$4,'Adjust. no safeguard'!$D$10:$W$10,0))</f>
        <v>2.6601332499999999</v>
      </c>
      <c r="L17" s="277">
        <f ca="1">INDEX(OFFSET('Adjust. no safeguard'!$D$1:$W$1,$D17-1,0),MATCH(L$4,'Adjust. no safeguard'!$D$10:$W$10,0))</f>
        <v>2.6084443749999999</v>
      </c>
      <c r="M17" s="277">
        <f ca="1">INDEX(OFFSET('Adjust. no safeguard'!$D$1:$W$1,$D17-1,0),MATCH(M$4,'Adjust. no safeguard'!$D$10:$W$10,0))</f>
        <v>2.5567555</v>
      </c>
      <c r="N17" s="277">
        <f ca="1">INDEX(OFFSET('Adjust. no safeguard'!$D$1:$W$1,$D17-1,0),MATCH(N$4,'Adjust. no safeguard'!$D$10:$W$10,0))</f>
        <v>2.505066625</v>
      </c>
      <c r="O17" s="277">
        <f ca="1">INDEX(OFFSET('Adjust. no safeguard'!$D$1:$W$1,$D17-1,0),MATCH(O$4,'Adjust. no safeguard'!$D$10:$W$10,0))</f>
        <v>2.45337775</v>
      </c>
      <c r="P17" s="277">
        <f ca="1">INDEX(OFFSET('Adjust. no safeguard'!$D$1:$W$1,$D17-1,0),MATCH(P$4,'Adjust. no safeguard'!$D$10:$W$10,0))</f>
        <v>2.4016888750000001</v>
      </c>
      <c r="Q17" s="277">
        <f ca="1">INDEX(OFFSET('Adjust. no safeguard'!$D$1:$W$1,$D17-1,0),MATCH(Q$4,'Adjust. no safeguard'!$D$10:$W$10,0))</f>
        <v>2.35</v>
      </c>
      <c r="R17" s="277">
        <f ca="1">INDEX(OFFSET('Adjust. no safeguard'!$D$1:$W$1,$D17-1,0),MATCH(R$4,'Adjust. no safeguard'!$D$10:$W$10,0))</f>
        <v>2.3325</v>
      </c>
      <c r="S17" s="277">
        <f ca="1">INDEX(OFFSET('Adjust. no safeguard'!$D$1:$W$1,$D17-1,0),MATCH(S$4,'Adjust. no safeguard'!$D$10:$W$10,0))</f>
        <v>2.3149999999999999</v>
      </c>
      <c r="T17" s="277">
        <f ca="1">INDEX(OFFSET('Adjust. no safeguard'!$D$1:$W$1,$D17-1,0),MATCH(T$4,'Adjust. no safeguard'!$D$10:$W$10,0))</f>
        <v>2.2974999999999999</v>
      </c>
      <c r="U17" s="277">
        <f ca="1">INDEX(OFFSET('Adjust. no safeguard'!$D$1:$W$1,$D17-1,0),MATCH(U$4,'Adjust. no safeguard'!$D$10:$W$10,0))</f>
        <v>2.2800000000000002</v>
      </c>
      <c r="V17" s="277">
        <f ca="1">INDEX(OFFSET('Adjust. no safeguard'!$D$1:$W$1,$D17-1,0),MATCH(V$4,'Adjust. no safeguard'!$D$10:$W$10,0))</f>
        <v>2.2625000000000002</v>
      </c>
      <c r="W17" s="277">
        <f ca="1">INDEX(OFFSET('Adjust. no safeguard'!$D$1:$W$1,$D17-1,0),MATCH(W$4,'Adjust. no safeguard'!$D$10:$W$10,0))</f>
        <v>2.2450000000000001</v>
      </c>
      <c r="X17" s="277">
        <f ca="1">INDEX(OFFSET('Adjust. no safeguard'!$D$1:$W$1,$D17-1,0),MATCH(X$4,'Adjust. no safeguard'!$D$10:$W$10,0))</f>
        <v>2.2275</v>
      </c>
      <c r="Y17" s="191"/>
    </row>
    <row r="18" spans="1:25" x14ac:dyDescent="0.2">
      <c r="A18" s="191"/>
      <c r="B18" s="284">
        <v>14</v>
      </c>
      <c r="C18" s="280" t="s">
        <v>159</v>
      </c>
      <c r="D18" s="289">
        <v>33</v>
      </c>
      <c r="E18" s="290" t="s">
        <v>156</v>
      </c>
      <c r="F18" s="277">
        <f ca="1">INDEX(OFFSET('Adjust. no safeguard'!$D$1:$W$1,$D18-1,0),MATCH(F$4,'Adjust. no safeguard'!$D$10:$W$10,0))</f>
        <v>10.02167371759688</v>
      </c>
      <c r="G18" s="277">
        <f ca="1">INDEX(OFFSET('Adjust. no safeguard'!$D$1:$W$1,$D18-1,0),MATCH(G$4,'Adjust. no safeguard'!$D$10:$W$10,0))</f>
        <v>7.3090364599912583</v>
      </c>
      <c r="H18" s="277">
        <f ca="1">INDEX(OFFSET('Adjust. no safeguard'!$D$1:$W$1,$D18-1,0),MATCH(H$4,'Adjust. no safeguard'!$D$10:$W$10,0))</f>
        <v>5.0887435567142703</v>
      </c>
      <c r="I18" s="277">
        <f ca="1">INDEX(OFFSET('Adjust. no safeguard'!$D$1:$W$1,$D18-1,0),MATCH(I$4,'Adjust. no safeguard'!$D$10:$W$10,0))</f>
        <v>5.747001881823488</v>
      </c>
      <c r="J18" s="277">
        <f ca="1">INDEX(OFFSET('Adjust. no safeguard'!$D$1:$W$1,$D18-1,0),MATCH(J$4,'Adjust. no safeguard'!$D$10:$W$10,0))</f>
        <v>4.9982222075220406</v>
      </c>
      <c r="K18" s="277">
        <f ca="1">INDEX(OFFSET('Adjust. no safeguard'!$D$1:$W$1,$D18-1,0),MATCH(K$4,'Adjust. no safeguard'!$D$10:$W$10,0))</f>
        <v>4.6428422813012293</v>
      </c>
      <c r="L18" s="277">
        <f ca="1">INDEX(OFFSET('Adjust. no safeguard'!$D$1:$W$1,$D18-1,0),MATCH(L$4,'Adjust. no safeguard'!$D$10:$W$10,0))</f>
        <v>4.5899519572811576</v>
      </c>
      <c r="M18" s="277">
        <f ca="1">INDEX(OFFSET('Adjust. no safeguard'!$D$1:$W$1,$D18-1,0),MATCH(M$4,'Adjust. no safeguard'!$D$10:$W$10,0))</f>
        <v>4.5829098354953191</v>
      </c>
      <c r="N18" s="277">
        <f ca="1">INDEX(OFFSET('Adjust. no safeguard'!$D$1:$W$1,$D18-1,0),MATCH(N$4,'Adjust. no safeguard'!$D$10:$W$10,0))</f>
        <v>4.3884834436104248</v>
      </c>
      <c r="O18" s="277">
        <f ca="1">INDEX(OFFSET('Adjust. no safeguard'!$D$1:$W$1,$D18-1,0),MATCH(O$4,'Adjust. no safeguard'!$D$10:$W$10,0))</f>
        <v>4.2391206580407514</v>
      </c>
      <c r="P18" s="277">
        <f ca="1">INDEX(OFFSET('Adjust. no safeguard'!$D$1:$W$1,$D18-1,0),MATCH(P$4,'Adjust. no safeguard'!$D$10:$W$10,0))</f>
        <v>4.0782328776499455</v>
      </c>
      <c r="Q18" s="277">
        <f ca="1">INDEX(OFFSET('Adjust. no safeguard'!$D$1:$W$1,$D18-1,0),MATCH(Q$4,'Adjust. no safeguard'!$D$10:$W$10,0))</f>
        <v>3.9939303475000187</v>
      </c>
      <c r="R18" s="277">
        <f ca="1">INDEX(OFFSET('Adjust. no safeguard'!$D$1:$W$1,$D18-1,0),MATCH(R$4,'Adjust. no safeguard'!$D$10:$W$10,0))</f>
        <v>3.9708105786000036</v>
      </c>
      <c r="S18" s="277">
        <f ca="1">INDEX(OFFSET('Adjust. no safeguard'!$D$1:$W$1,$D18-1,0),MATCH(S$4,'Adjust. no safeguard'!$D$10:$W$10,0))</f>
        <v>3.9476793346999939</v>
      </c>
      <c r="T18" s="277">
        <f ca="1">INDEX(OFFSET('Adjust. no safeguard'!$D$1:$W$1,$D18-1,0),MATCH(T$4,'Adjust. no safeguard'!$D$10:$W$10,0))</f>
        <v>3.9245673118750046</v>
      </c>
      <c r="U18" s="277">
        <f ca="1">INDEX(OFFSET('Adjust. no safeguard'!$D$1:$W$1,$D18-1,0),MATCH(U$4,'Adjust. no safeguard'!$D$10:$W$10,0))</f>
        <v>3.8261268707999951</v>
      </c>
      <c r="V18" s="277">
        <f ca="1">INDEX(OFFSET('Adjust. no safeguard'!$D$1:$W$1,$D18-1,0),MATCH(V$4,'Adjust. no safeguard'!$D$10:$W$10,0))</f>
        <v>3.737714281999982</v>
      </c>
      <c r="W18" s="277">
        <f ca="1">INDEX(OFFSET('Adjust. no safeguard'!$D$1:$W$1,$D18-1,0),MATCH(W$4,'Adjust. no safeguard'!$D$10:$W$10,0))</f>
        <v>3.6631688235000182</v>
      </c>
      <c r="X18" s="277">
        <f ca="1">INDEX(OFFSET('Adjust. no safeguard'!$D$1:$W$1,$D18-1,0),MATCH(X$4,'Adjust. no safeguard'!$D$10:$W$10,0))</f>
        <v>3.5953335959749921</v>
      </c>
      <c r="Y18" s="191"/>
    </row>
    <row r="19" spans="1:25" x14ac:dyDescent="0.2">
      <c r="A19" s="191"/>
      <c r="B19" s="278"/>
      <c r="C19" s="299"/>
      <c r="D19" s="299"/>
      <c r="E19" s="299"/>
      <c r="F19" s="299"/>
      <c r="G19" s="299"/>
      <c r="H19" s="299"/>
      <c r="I19" s="299"/>
      <c r="J19" s="299"/>
      <c r="K19" s="191"/>
      <c r="L19" s="191"/>
      <c r="M19" s="191"/>
      <c r="N19" s="191"/>
      <c r="O19" s="191"/>
      <c r="P19" s="191"/>
      <c r="Q19" s="191"/>
      <c r="R19" s="191"/>
      <c r="S19" s="191"/>
      <c r="T19" s="191"/>
      <c r="U19" s="191"/>
      <c r="V19" s="191"/>
      <c r="W19" s="191"/>
      <c r="X19" s="191"/>
      <c r="Y19" s="191"/>
    </row>
    <row r="20" spans="1:25" x14ac:dyDescent="0.2">
      <c r="A20" s="191"/>
      <c r="B20" s="300"/>
      <c r="C20" s="282" t="s">
        <v>160</v>
      </c>
      <c r="D20" s="283"/>
      <c r="E20" s="283"/>
      <c r="F20" s="283"/>
      <c r="G20" s="299"/>
      <c r="H20" s="299"/>
      <c r="I20" s="299"/>
      <c r="J20" s="299"/>
      <c r="K20" s="191"/>
      <c r="L20" s="191"/>
      <c r="M20" s="191"/>
      <c r="N20" s="191"/>
      <c r="O20" s="191"/>
      <c r="P20" s="191"/>
      <c r="Q20" s="191"/>
      <c r="R20" s="191"/>
      <c r="S20" s="191"/>
      <c r="T20" s="191"/>
      <c r="U20" s="191"/>
      <c r="V20" s="191"/>
      <c r="W20" s="191"/>
      <c r="X20" s="191"/>
      <c r="Y20" s="191"/>
    </row>
    <row r="21" spans="1:25" x14ac:dyDescent="0.2">
      <c r="A21" s="191"/>
      <c r="B21" s="278"/>
      <c r="C21" s="299"/>
      <c r="D21" s="299"/>
      <c r="E21" s="299"/>
      <c r="F21" s="299"/>
      <c r="G21" s="299"/>
      <c r="H21" s="299"/>
      <c r="I21" s="299"/>
      <c r="J21" s="299"/>
      <c r="K21" s="191"/>
      <c r="L21" s="191"/>
      <c r="M21" s="191"/>
      <c r="N21" s="191"/>
      <c r="O21" s="191"/>
      <c r="P21" s="191"/>
      <c r="Q21" s="191"/>
      <c r="R21" s="191"/>
      <c r="S21" s="191"/>
      <c r="T21" s="191"/>
      <c r="U21" s="191"/>
      <c r="V21" s="191"/>
      <c r="W21" s="191"/>
      <c r="X21" s="191"/>
      <c r="Y21" s="191"/>
    </row>
    <row r="22" spans="1:25" x14ac:dyDescent="0.2">
      <c r="A22" s="191"/>
      <c r="B22" s="284"/>
      <c r="C22" s="282" t="s">
        <v>12</v>
      </c>
      <c r="D22" s="282"/>
      <c r="E22" s="286">
        <f>F22-1</f>
        <v>-1</v>
      </c>
      <c r="F22" s="287"/>
      <c r="G22" s="287"/>
      <c r="H22" s="287"/>
      <c r="I22" s="287"/>
      <c r="J22" s="287"/>
      <c r="K22" s="287"/>
      <c r="L22" s="287"/>
      <c r="M22" s="287"/>
      <c r="N22" s="287"/>
      <c r="O22" s="287"/>
      <c r="P22" s="287"/>
      <c r="Q22" s="287"/>
      <c r="R22" s="287"/>
      <c r="S22" s="287"/>
      <c r="T22" s="287"/>
      <c r="U22" s="287"/>
      <c r="V22" s="287"/>
      <c r="W22" s="287"/>
      <c r="X22" s="287"/>
      <c r="Y22" s="191"/>
    </row>
    <row r="23" spans="1:25" x14ac:dyDescent="0.2">
      <c r="A23" s="191"/>
      <c r="B23" s="284">
        <v>1</v>
      </c>
      <c r="C23" s="288" t="s">
        <v>146</v>
      </c>
      <c r="D23" s="289">
        <v>56</v>
      </c>
      <c r="E23" s="290" t="s">
        <v>147</v>
      </c>
      <c r="F23" s="277"/>
      <c r="G23" s="277"/>
      <c r="H23" s="277"/>
      <c r="I23" s="277"/>
      <c r="J23" s="277"/>
      <c r="K23" s="277"/>
      <c r="L23" s="277"/>
      <c r="M23" s="277"/>
      <c r="N23" s="277"/>
      <c r="O23" s="277"/>
      <c r="P23" s="277"/>
      <c r="Q23" s="277"/>
      <c r="R23" s="277"/>
      <c r="S23" s="277"/>
      <c r="T23" s="277"/>
      <c r="U23" s="277"/>
      <c r="V23" s="277"/>
      <c r="W23" s="277"/>
      <c r="X23" s="277"/>
      <c r="Y23" s="191"/>
    </row>
    <row r="24" spans="1:25" x14ac:dyDescent="0.2">
      <c r="A24" s="191"/>
      <c r="B24" s="284">
        <v>2</v>
      </c>
      <c r="C24" s="288" t="s">
        <v>63</v>
      </c>
      <c r="D24" s="289">
        <v>36</v>
      </c>
      <c r="E24" s="290" t="s">
        <v>153</v>
      </c>
      <c r="F24" s="277"/>
      <c r="G24" s="277"/>
      <c r="H24" s="277"/>
      <c r="I24" s="277"/>
      <c r="J24" s="277"/>
      <c r="K24" s="277"/>
      <c r="L24" s="277"/>
      <c r="M24" s="277"/>
      <c r="N24" s="277"/>
      <c r="O24" s="277"/>
      <c r="P24" s="277"/>
      <c r="Q24" s="277"/>
      <c r="R24" s="277"/>
      <c r="S24" s="277"/>
      <c r="T24" s="277"/>
      <c r="U24" s="277"/>
      <c r="V24" s="277"/>
      <c r="W24" s="277"/>
      <c r="X24" s="277"/>
      <c r="Y24" s="191"/>
    </row>
    <row r="25" spans="1:25" x14ac:dyDescent="0.2">
      <c r="A25" s="191"/>
      <c r="B25" s="284">
        <v>3</v>
      </c>
      <c r="C25" s="288" t="s">
        <v>64</v>
      </c>
      <c r="D25" s="289">
        <v>37</v>
      </c>
      <c r="E25" s="290" t="s">
        <v>153</v>
      </c>
      <c r="F25" s="277"/>
      <c r="G25" s="277"/>
      <c r="H25" s="277"/>
      <c r="I25" s="277"/>
      <c r="J25" s="277"/>
      <c r="K25" s="277"/>
      <c r="L25" s="277"/>
      <c r="M25" s="277"/>
      <c r="N25" s="277"/>
      <c r="O25" s="277"/>
      <c r="P25" s="277"/>
      <c r="Q25" s="277"/>
      <c r="R25" s="277"/>
      <c r="S25" s="277"/>
      <c r="T25" s="277"/>
      <c r="U25" s="277"/>
      <c r="V25" s="277"/>
      <c r="W25" s="277"/>
      <c r="X25" s="277"/>
      <c r="Y25" s="191"/>
    </row>
    <row r="26" spans="1:25" x14ac:dyDescent="0.2">
      <c r="A26" s="191"/>
      <c r="B26" s="284"/>
      <c r="C26" s="282" t="s">
        <v>13</v>
      </c>
      <c r="D26" s="282"/>
      <c r="E26" s="286">
        <f>F26-1</f>
        <v>-1</v>
      </c>
      <c r="F26" s="287"/>
      <c r="G26" s="287"/>
      <c r="H26" s="287"/>
      <c r="I26" s="287"/>
      <c r="J26" s="287"/>
      <c r="K26" s="287"/>
      <c r="L26" s="287"/>
      <c r="M26" s="287"/>
      <c r="N26" s="287"/>
      <c r="O26" s="287"/>
      <c r="P26" s="287"/>
      <c r="Q26" s="287"/>
      <c r="R26" s="287"/>
      <c r="S26" s="287"/>
      <c r="T26" s="287"/>
      <c r="U26" s="287"/>
      <c r="V26" s="287"/>
      <c r="W26" s="287"/>
      <c r="X26" s="287"/>
      <c r="Y26" s="191"/>
    </row>
    <row r="27" spans="1:25" x14ac:dyDescent="0.2">
      <c r="A27" s="191"/>
      <c r="B27" s="284">
        <v>4</v>
      </c>
      <c r="C27" s="288" t="s">
        <v>146</v>
      </c>
      <c r="D27" s="289">
        <v>56</v>
      </c>
      <c r="E27" s="290" t="s">
        <v>147</v>
      </c>
      <c r="F27" s="277"/>
      <c r="G27" s="277"/>
      <c r="H27" s="277"/>
      <c r="I27" s="277"/>
      <c r="J27" s="277"/>
      <c r="K27" s="277"/>
      <c r="L27" s="277"/>
      <c r="M27" s="277"/>
      <c r="N27" s="277"/>
      <c r="O27" s="277"/>
      <c r="P27" s="277"/>
      <c r="Q27" s="277"/>
      <c r="R27" s="277"/>
      <c r="S27" s="277"/>
      <c r="T27" s="277"/>
      <c r="U27" s="277"/>
      <c r="V27" s="277"/>
      <c r="W27" s="277"/>
      <c r="X27" s="277"/>
      <c r="Y27" s="191"/>
    </row>
    <row r="28" spans="1:25" x14ac:dyDescent="0.2">
      <c r="A28" s="191"/>
      <c r="B28" s="284">
        <v>5</v>
      </c>
      <c r="C28" s="288" t="s">
        <v>18</v>
      </c>
      <c r="D28" s="289">
        <v>12</v>
      </c>
      <c r="E28" s="290" t="s">
        <v>149</v>
      </c>
      <c r="F28" s="277"/>
      <c r="G28" s="277"/>
      <c r="H28" s="277"/>
      <c r="I28" s="277"/>
      <c r="J28" s="277"/>
      <c r="K28" s="277"/>
      <c r="L28" s="277"/>
      <c r="M28" s="277"/>
      <c r="N28" s="277"/>
      <c r="O28" s="277"/>
      <c r="P28" s="277"/>
      <c r="Q28" s="277"/>
      <c r="R28" s="277"/>
      <c r="S28" s="277"/>
      <c r="T28" s="277"/>
      <c r="U28" s="277"/>
      <c r="V28" s="277"/>
      <c r="W28" s="277"/>
      <c r="X28" s="277"/>
      <c r="Y28" s="191"/>
    </row>
    <row r="29" spans="1:25" x14ac:dyDescent="0.2">
      <c r="A29" s="191"/>
      <c r="B29" s="284"/>
      <c r="C29" s="282" t="s">
        <v>161</v>
      </c>
      <c r="D29" s="282"/>
      <c r="E29" s="286">
        <f>F29-1</f>
        <v>-1</v>
      </c>
      <c r="F29" s="287"/>
      <c r="G29" s="287"/>
      <c r="H29" s="287"/>
      <c r="I29" s="287"/>
      <c r="J29" s="287"/>
      <c r="K29" s="287"/>
      <c r="L29" s="287"/>
      <c r="M29" s="287"/>
      <c r="N29" s="287"/>
      <c r="O29" s="287"/>
      <c r="P29" s="287"/>
      <c r="Q29" s="287"/>
      <c r="R29" s="287"/>
      <c r="S29" s="287"/>
      <c r="T29" s="287"/>
      <c r="U29" s="287"/>
      <c r="V29" s="287"/>
      <c r="W29" s="287"/>
      <c r="X29" s="287"/>
      <c r="Y29" s="191"/>
    </row>
    <row r="30" spans="1:25" x14ac:dyDescent="0.2">
      <c r="A30" s="191"/>
      <c r="B30" s="284">
        <v>6</v>
      </c>
      <c r="C30" s="288" t="s">
        <v>146</v>
      </c>
      <c r="D30" s="289">
        <v>57</v>
      </c>
      <c r="E30" s="290" t="s">
        <v>147</v>
      </c>
      <c r="F30" s="277"/>
      <c r="G30" s="277"/>
      <c r="H30" s="277"/>
      <c r="I30" s="277"/>
      <c r="J30" s="277"/>
      <c r="K30" s="277"/>
      <c r="L30" s="277"/>
      <c r="M30" s="277"/>
      <c r="N30" s="277"/>
      <c r="O30" s="277"/>
      <c r="P30" s="277"/>
      <c r="Q30" s="277"/>
      <c r="R30" s="277"/>
      <c r="S30" s="277"/>
      <c r="T30" s="277"/>
      <c r="U30" s="277"/>
      <c r="V30" s="277"/>
      <c r="W30" s="277"/>
      <c r="X30" s="277"/>
      <c r="Y30" s="191"/>
    </row>
    <row r="31" spans="1:25" x14ac:dyDescent="0.2">
      <c r="A31" s="191"/>
      <c r="B31" s="284">
        <v>7</v>
      </c>
      <c r="C31" s="288" t="s">
        <v>63</v>
      </c>
      <c r="D31" s="289">
        <v>37</v>
      </c>
      <c r="E31" s="290" t="s">
        <v>153</v>
      </c>
      <c r="F31" s="277"/>
      <c r="G31" s="277"/>
      <c r="H31" s="277"/>
      <c r="I31" s="277"/>
      <c r="J31" s="277"/>
      <c r="K31" s="277"/>
      <c r="L31" s="277"/>
      <c r="M31" s="277"/>
      <c r="N31" s="277"/>
      <c r="O31" s="277"/>
      <c r="P31" s="277"/>
      <c r="Q31" s="277"/>
      <c r="R31" s="277"/>
      <c r="S31" s="277"/>
      <c r="T31" s="277"/>
      <c r="U31" s="277"/>
      <c r="V31" s="277"/>
      <c r="W31" s="277"/>
      <c r="X31" s="277"/>
      <c r="Y31" s="191"/>
    </row>
    <row r="32" spans="1:25" x14ac:dyDescent="0.2">
      <c r="A32" s="191"/>
      <c r="B32" s="284">
        <v>8</v>
      </c>
      <c r="C32" s="288" t="s">
        <v>64</v>
      </c>
      <c r="D32" s="289">
        <v>38</v>
      </c>
      <c r="E32" s="290" t="s">
        <v>153</v>
      </c>
      <c r="F32" s="277"/>
      <c r="G32" s="277"/>
      <c r="H32" s="277"/>
      <c r="I32" s="277"/>
      <c r="J32" s="277"/>
      <c r="K32" s="277"/>
      <c r="L32" s="277"/>
      <c r="M32" s="277"/>
      <c r="N32" s="277"/>
      <c r="O32" s="277"/>
      <c r="P32" s="277"/>
      <c r="Q32" s="277"/>
      <c r="R32" s="277"/>
      <c r="S32" s="277"/>
      <c r="T32" s="277"/>
      <c r="U32" s="277"/>
      <c r="V32" s="277"/>
      <c r="W32" s="277"/>
      <c r="X32" s="277"/>
      <c r="Y32" s="191"/>
    </row>
    <row r="33" spans="1:25" x14ac:dyDescent="0.2">
      <c r="A33" s="191"/>
      <c r="B33" s="284">
        <v>9</v>
      </c>
      <c r="C33" s="280" t="s">
        <v>157</v>
      </c>
      <c r="D33" s="289">
        <v>23</v>
      </c>
      <c r="E33" s="290" t="s">
        <v>156</v>
      </c>
      <c r="F33" s="277"/>
      <c r="G33" s="277"/>
      <c r="H33" s="277"/>
      <c r="I33" s="277"/>
      <c r="J33" s="277"/>
      <c r="K33" s="277"/>
      <c r="L33" s="277"/>
      <c r="M33" s="277"/>
      <c r="N33" s="277"/>
      <c r="O33" s="277"/>
      <c r="P33" s="277"/>
      <c r="Q33" s="277"/>
      <c r="R33" s="277"/>
      <c r="S33" s="277"/>
      <c r="T33" s="277"/>
      <c r="U33" s="277"/>
      <c r="V33" s="277"/>
      <c r="W33" s="277"/>
      <c r="X33" s="277"/>
      <c r="Y33" s="191"/>
    </row>
    <row r="34" spans="1:25" x14ac:dyDescent="0.2">
      <c r="A34" s="191"/>
      <c r="B34" s="284">
        <v>10</v>
      </c>
      <c r="C34" s="292" t="s">
        <v>40</v>
      </c>
      <c r="D34" s="289">
        <v>27</v>
      </c>
      <c r="E34" s="290" t="s">
        <v>156</v>
      </c>
      <c r="F34" s="277"/>
      <c r="G34" s="277"/>
      <c r="H34" s="277"/>
      <c r="I34" s="277"/>
      <c r="J34" s="277"/>
      <c r="K34" s="277"/>
      <c r="L34" s="277"/>
      <c r="M34" s="277"/>
      <c r="N34" s="277"/>
      <c r="O34" s="277"/>
      <c r="P34" s="277"/>
      <c r="Q34" s="277"/>
      <c r="R34" s="277"/>
      <c r="S34" s="277"/>
      <c r="T34" s="277"/>
      <c r="U34" s="277"/>
      <c r="V34" s="277"/>
      <c r="W34" s="277"/>
      <c r="X34" s="277"/>
      <c r="Y34" s="191"/>
    </row>
    <row r="35" spans="1:25" x14ac:dyDescent="0.2">
      <c r="A35" s="191"/>
      <c r="B35" s="284"/>
      <c r="C35" s="282" t="s">
        <v>162</v>
      </c>
      <c r="D35" s="282"/>
      <c r="E35" s="286">
        <f>F35-1</f>
        <v>-1</v>
      </c>
      <c r="F35" s="295"/>
      <c r="G35" s="191"/>
      <c r="H35" s="191"/>
      <c r="I35" s="191"/>
      <c r="J35" s="191"/>
      <c r="K35" s="191"/>
      <c r="L35" s="191"/>
      <c r="M35" s="191"/>
      <c r="N35" s="191"/>
      <c r="O35" s="191"/>
      <c r="P35" s="191"/>
      <c r="Q35" s="191"/>
      <c r="R35" s="191"/>
      <c r="S35" s="191"/>
      <c r="T35" s="191"/>
      <c r="U35" s="191"/>
      <c r="V35" s="191"/>
      <c r="W35" s="191"/>
      <c r="X35" s="191"/>
      <c r="Y35" s="191"/>
    </row>
    <row r="36" spans="1:25" x14ac:dyDescent="0.2">
      <c r="A36" s="191"/>
      <c r="B36" s="284">
        <v>11</v>
      </c>
      <c r="C36" s="288" t="s">
        <v>163</v>
      </c>
      <c r="D36" s="301" t="s">
        <v>167</v>
      </c>
      <c r="E36" s="290" t="s">
        <v>153</v>
      </c>
      <c r="F36" s="277"/>
      <c r="G36" s="308"/>
      <c r="H36" s="297"/>
      <c r="I36" s="298"/>
      <c r="J36" s="298"/>
      <c r="K36" s="297"/>
      <c r="L36" s="298"/>
      <c r="M36" s="297"/>
      <c r="N36" s="297"/>
      <c r="O36" s="298"/>
      <c r="P36" s="298"/>
      <c r="Q36" s="297"/>
      <c r="R36" s="298"/>
      <c r="S36" s="297"/>
      <c r="T36" s="302"/>
      <c r="U36" s="86"/>
      <c r="V36" s="309"/>
      <c r="W36" s="310"/>
      <c r="X36" s="309"/>
      <c r="Y36" s="86"/>
    </row>
    <row r="37" spans="1:25" x14ac:dyDescent="0.2">
      <c r="A37" s="191"/>
      <c r="B37" s="278"/>
      <c r="C37" s="299"/>
      <c r="D37" s="299"/>
      <c r="E37" s="299"/>
      <c r="F37" s="299"/>
      <c r="G37" s="299"/>
      <c r="H37" s="299"/>
      <c r="I37" s="299"/>
      <c r="J37" s="299"/>
      <c r="K37" s="191"/>
      <c r="L37" s="191"/>
      <c r="M37" s="191"/>
      <c r="N37" s="191"/>
      <c r="O37" s="191"/>
      <c r="P37" s="191"/>
      <c r="Q37" s="308"/>
      <c r="R37" s="308"/>
      <c r="S37" s="308"/>
      <c r="T37" s="308"/>
      <c r="U37" s="308"/>
      <c r="V37" s="308"/>
      <c r="W37" s="191"/>
      <c r="X37" s="191"/>
      <c r="Y37" s="191"/>
    </row>
    <row r="38" spans="1:25" x14ac:dyDescent="0.2">
      <c r="A38" s="191"/>
      <c r="B38" s="300"/>
      <c r="C38" s="282" t="s">
        <v>164</v>
      </c>
      <c r="D38" s="283"/>
      <c r="E38" s="283"/>
      <c r="F38" s="294"/>
      <c r="G38" s="191"/>
      <c r="H38" s="191"/>
      <c r="I38" s="191"/>
      <c r="J38" s="191"/>
      <c r="K38" s="191"/>
      <c r="L38" s="191"/>
      <c r="M38" s="191"/>
      <c r="N38" s="191"/>
      <c r="O38" s="191"/>
      <c r="P38" s="191"/>
      <c r="Q38" s="191"/>
      <c r="R38" s="191"/>
      <c r="S38" s="191"/>
      <c r="T38" s="191"/>
      <c r="U38" s="191"/>
      <c r="V38" s="191"/>
      <c r="W38" s="191"/>
      <c r="X38" s="191"/>
      <c r="Y38" s="191"/>
    </row>
    <row r="39" spans="1:25" x14ac:dyDescent="0.2">
      <c r="A39" s="191"/>
      <c r="B39" s="278"/>
      <c r="C39" s="299"/>
      <c r="D39" s="299"/>
      <c r="E39" s="299"/>
      <c r="F39" s="299"/>
      <c r="G39" s="299"/>
      <c r="H39" s="299"/>
      <c r="I39" s="299"/>
      <c r="J39" s="299"/>
      <c r="K39" s="191"/>
      <c r="L39" s="191"/>
      <c r="M39" s="191"/>
      <c r="N39" s="191"/>
      <c r="O39" s="191"/>
      <c r="P39" s="191"/>
      <c r="Q39" s="191"/>
      <c r="R39" s="191"/>
      <c r="S39" s="191"/>
      <c r="T39" s="191"/>
      <c r="U39" s="191"/>
      <c r="V39" s="191"/>
      <c r="W39" s="191"/>
      <c r="X39" s="191"/>
      <c r="Y39" s="191"/>
    </row>
    <row r="40" spans="1:25" x14ac:dyDescent="0.2">
      <c r="A40" s="191"/>
      <c r="B40" s="284"/>
      <c r="C40" s="282"/>
      <c r="D40" s="282"/>
      <c r="E40" s="287"/>
      <c r="F40" s="287">
        <f>'Input data'!$C$5-1</f>
        <v>2023</v>
      </c>
      <c r="G40" s="287">
        <f>F40+1</f>
        <v>2024</v>
      </c>
      <c r="H40" s="287">
        <f t="shared" ref="H40:X40" si="1">G40+1</f>
        <v>2025</v>
      </c>
      <c r="I40" s="287">
        <f t="shared" si="1"/>
        <v>2026</v>
      </c>
      <c r="J40" s="287">
        <f t="shared" si="1"/>
        <v>2027</v>
      </c>
      <c r="K40" s="287">
        <f t="shared" si="1"/>
        <v>2028</v>
      </c>
      <c r="L40" s="287">
        <f t="shared" si="1"/>
        <v>2029</v>
      </c>
      <c r="M40" s="287">
        <f t="shared" si="1"/>
        <v>2030</v>
      </c>
      <c r="N40" s="287">
        <f t="shared" si="1"/>
        <v>2031</v>
      </c>
      <c r="O40" s="287">
        <f t="shared" si="1"/>
        <v>2032</v>
      </c>
      <c r="P40" s="287">
        <f t="shared" si="1"/>
        <v>2033</v>
      </c>
      <c r="Q40" s="287">
        <f t="shared" si="1"/>
        <v>2034</v>
      </c>
      <c r="R40" s="287">
        <f t="shared" si="1"/>
        <v>2035</v>
      </c>
      <c r="S40" s="287">
        <f t="shared" si="1"/>
        <v>2036</v>
      </c>
      <c r="T40" s="287">
        <f t="shared" si="1"/>
        <v>2037</v>
      </c>
      <c r="U40" s="287">
        <f t="shared" si="1"/>
        <v>2038</v>
      </c>
      <c r="V40" s="287">
        <f t="shared" si="1"/>
        <v>2039</v>
      </c>
      <c r="W40" s="287">
        <f t="shared" si="1"/>
        <v>2040</v>
      </c>
      <c r="X40" s="287">
        <f t="shared" si="1"/>
        <v>2041</v>
      </c>
      <c r="Y40" s="191"/>
    </row>
    <row r="41" spans="1:25" x14ac:dyDescent="0.2">
      <c r="A41" s="191"/>
      <c r="B41" s="284">
        <v>1</v>
      </c>
      <c r="C41" s="288" t="s">
        <v>146</v>
      </c>
      <c r="D41" s="289">
        <v>56</v>
      </c>
      <c r="E41" s="290" t="s">
        <v>147</v>
      </c>
      <c r="F41" s="277">
        <f ca="1">INDEX(OFFSET('Baseline NFPC'!$D$1:$W$1,$D41-1,0),MATCH(F$4,'Baseline NFPC'!$D$10:$W$10,0))</f>
        <v>22.884294685123706</v>
      </c>
      <c r="G41" s="277">
        <f ca="1">INDEX(OFFSET('Baseline NFPC'!$D$1:$W$1,$D41-1,0),MATCH(G$4,'Baseline NFPC'!$D$10:$W$10,0))</f>
        <v>24.494983925203403</v>
      </c>
      <c r="H41" s="277">
        <f ca="1">INDEX(OFFSET('Baseline NFPC'!$D$1:$W$1,$D41-1,0),MATCH(H$4,'Baseline NFPC'!$D$10:$W$10,0))</f>
        <v>23.227988623762442</v>
      </c>
      <c r="I41" s="277">
        <f ca="1">INDEX(OFFSET('Baseline NFPC'!$D$1:$W$1,$D41-1,0),MATCH(I$4,'Baseline NFPC'!$D$10:$W$10,0))</f>
        <v>24.53635204564273</v>
      </c>
      <c r="J41" s="277">
        <f ca="1">INDEX(OFFSET('Baseline NFPC'!$D$1:$W$1,$D41-1,0),MATCH(J$4,'Baseline NFPC'!$D$10:$W$10,0))</f>
        <v>26.201117307568566</v>
      </c>
      <c r="K41" s="277">
        <f ca="1">INDEX(OFFSET('Baseline NFPC'!$D$1:$W$1,$D41-1,0),MATCH(K$4,'Baseline NFPC'!$D$10:$W$10,0))</f>
        <v>27.92589419266686</v>
      </c>
      <c r="L41" s="277">
        <f ca="1">INDEX(OFFSET('Baseline NFPC'!$D$1:$W$1,$D41-1,0),MATCH(L$4,'Baseline NFPC'!$D$10:$W$10,0))</f>
        <v>29.610056403650937</v>
      </c>
      <c r="M41" s="277">
        <f ca="1">INDEX(OFFSET('Baseline NFPC'!$D$1:$W$1,$D41-1,0),MATCH(M$4,'Baseline NFPC'!$D$10:$W$10,0))</f>
        <v>31.246329635464317</v>
      </c>
      <c r="N41" s="277">
        <f ca="1">INDEX(OFFSET('Baseline NFPC'!$D$1:$W$1,$D41-1,0),MATCH(N$4,'Baseline NFPC'!$D$10:$W$10,0))</f>
        <v>32.897297607833409</v>
      </c>
      <c r="O41" s="277">
        <f ca="1">INDEX(OFFSET('Baseline NFPC'!$D$1:$W$1,$D41-1,0),MATCH(O$4,'Baseline NFPC'!$D$10:$W$10,0))</f>
        <v>34.559565386362678</v>
      </c>
      <c r="P41" s="277">
        <f ca="1">INDEX(OFFSET('Baseline NFPC'!$D$1:$W$1,$D41-1,0),MATCH(P$4,'Baseline NFPC'!$D$10:$W$10,0))</f>
        <v>36.235140968359588</v>
      </c>
      <c r="Q41" s="277">
        <f ca="1">INDEX(OFFSET('Baseline NFPC'!$D$1:$W$1,$D41-1,0),MATCH(Q$4,'Baseline NFPC'!$D$10:$W$10,0))</f>
        <v>37.911257812458963</v>
      </c>
      <c r="R41" s="277">
        <f ca="1">INDEX(OFFSET('Baseline NFPC'!$D$1:$W$1,$D41-1,0),MATCH(R$4,'Baseline NFPC'!$D$10:$W$10,0))</f>
        <v>39.563690071238334</v>
      </c>
      <c r="S41" s="277">
        <f ca="1">INDEX(OFFSET('Baseline NFPC'!$D$1:$W$1,$D41-1,0),MATCH(S$4,'Baseline NFPC'!$D$10:$W$10,0))</f>
        <v>41.194398768937958</v>
      </c>
      <c r="T41" s="277">
        <f ca="1">INDEX(OFFSET('Baseline NFPC'!$D$1:$W$1,$D41-1,0),MATCH(T$4,'Baseline NFPC'!$D$10:$W$10,0))</f>
        <v>42.79414771844182</v>
      </c>
      <c r="U41" s="277">
        <f ca="1">INDEX(OFFSET('Baseline NFPC'!$D$1:$W$1,$D41-1,0),MATCH(U$4,'Baseline NFPC'!$D$10:$W$10,0))</f>
        <v>44.397783160896154</v>
      </c>
      <c r="V41" s="277">
        <f ca="1">INDEX(OFFSET('Baseline NFPC'!$D$1:$W$1,$D41-1,0),MATCH(V$4,'Baseline NFPC'!$D$10:$W$10,0))</f>
        <v>46.025385329640038</v>
      </c>
      <c r="W41" s="277">
        <f ca="1">INDEX(OFFSET('Baseline NFPC'!$D$1:$W$1,$D41-1,0),MATCH(W$4,'Baseline NFPC'!$D$10:$W$10,0))</f>
        <v>47.681383668509511</v>
      </c>
      <c r="X41" s="277">
        <f ca="1">INDEX(OFFSET('Baseline NFPC'!$D$1:$W$1,$D41-1,0),MATCH(X$4,'Baseline NFPC'!$D$10:$W$10,0))</f>
        <v>49.398543966800901</v>
      </c>
      <c r="Y41" s="191"/>
    </row>
    <row r="42" spans="1:25" x14ac:dyDescent="0.2">
      <c r="A42" s="191"/>
      <c r="B42" s="284">
        <v>2</v>
      </c>
      <c r="C42" s="288" t="s">
        <v>148</v>
      </c>
      <c r="D42" s="289">
        <v>76</v>
      </c>
      <c r="E42" s="290" t="s">
        <v>147</v>
      </c>
      <c r="F42" s="277">
        <f ca="1">INDEX(OFFSET('Baseline NFPC'!$D$1:$W$1,$D42-1,0),MATCH(F$4,'Baseline NFPC'!$D$10:$W$10,0))</f>
        <v>-2.0024050348224529</v>
      </c>
      <c r="G42" s="277">
        <f ca="1">INDEX(OFFSET('Baseline NFPC'!$D$1:$W$1,$D42-1,0),MATCH(G$4,'Baseline NFPC'!$D$10:$W$10,0))</f>
        <v>-2.6315401809889596</v>
      </c>
      <c r="H42" s="277">
        <f ca="1">INDEX(OFFSET('Baseline NFPC'!$D$1:$W$1,$D42-1,0),MATCH(H$4,'Baseline NFPC'!$D$10:$W$10,0))</f>
        <v>-2.8787265127915358</v>
      </c>
      <c r="I42" s="277">
        <f ca="1">INDEX(OFFSET('Baseline NFPC'!$D$1:$W$1,$D42-1,0),MATCH(I$4,'Baseline NFPC'!$D$10:$W$10,0))</f>
        <v>-2.7206661355978365</v>
      </c>
      <c r="J42" s="277">
        <f ca="1">INDEX(OFFSET('Baseline NFPC'!$D$1:$W$1,$D42-1,0),MATCH(J$4,'Baseline NFPC'!$D$10:$W$10,0))</f>
        <v>-2.832767320510444</v>
      </c>
      <c r="K42" s="277">
        <f ca="1">INDEX(OFFSET('Baseline NFPC'!$D$1:$W$1,$D42-1,0),MATCH(K$4,'Baseline NFPC'!$D$10:$W$10,0))</f>
        <v>-2.8872802403292126</v>
      </c>
      <c r="L42" s="277">
        <f ca="1">INDEX(OFFSET('Baseline NFPC'!$D$1:$W$1,$D42-1,0),MATCH(L$4,'Baseline NFPC'!$D$10:$W$10,0))</f>
        <v>-2.9096959291830413</v>
      </c>
      <c r="M42" s="277">
        <f ca="1">INDEX(OFFSET('Baseline NFPC'!$D$1:$W$1,$D42-1,0),MATCH(M$4,'Baseline NFPC'!$D$10:$W$10,0))</f>
        <v>-2.9338104578794155</v>
      </c>
      <c r="N42" s="277">
        <f ca="1">INDEX(OFFSET('Baseline NFPC'!$D$1:$W$1,$D42-1,0),MATCH(N$4,'Baseline NFPC'!$D$10:$W$10,0))</f>
        <v>-2.9645611557867007</v>
      </c>
      <c r="O42" s="277">
        <f ca="1">INDEX(OFFSET('Baseline NFPC'!$D$1:$W$1,$D42-1,0),MATCH(O$4,'Baseline NFPC'!$D$10:$W$10,0))</f>
        <v>-3.0001111237409788</v>
      </c>
      <c r="P42" s="277">
        <f ca="1">INDEX(OFFSET('Baseline NFPC'!$D$1:$W$1,$D42-1,0),MATCH(P$4,'Baseline NFPC'!$D$10:$W$10,0))</f>
        <v>-3.0297680187732245</v>
      </c>
      <c r="Q42" s="277">
        <f ca="1">INDEX(OFFSET('Baseline NFPC'!$D$1:$W$1,$D42-1,0),MATCH(Q$4,'Baseline NFPC'!$D$10:$W$10,0))</f>
        <v>-3.0677425733691726</v>
      </c>
      <c r="R42" s="277">
        <f ca="1">INDEX(OFFSET('Baseline NFPC'!$D$1:$W$1,$D42-1,0),MATCH(R$4,'Baseline NFPC'!$D$10:$W$10,0))</f>
        <v>-3.1003234768240695</v>
      </c>
      <c r="S42" s="277">
        <f ca="1">INDEX(OFFSET('Baseline NFPC'!$D$1:$W$1,$D42-1,0),MATCH(S$4,'Baseline NFPC'!$D$10:$W$10,0))</f>
        <v>-3.1332411515104033</v>
      </c>
      <c r="T42" s="277">
        <f ca="1">INDEX(OFFSET('Baseline NFPC'!$D$1:$W$1,$D42-1,0),MATCH(T$4,'Baseline NFPC'!$D$10:$W$10,0))</f>
        <v>-3.1553983500517537</v>
      </c>
      <c r="U42" s="277">
        <f ca="1">INDEX(OFFSET('Baseline NFPC'!$D$1:$W$1,$D42-1,0),MATCH(U$4,'Baseline NFPC'!$D$10:$W$10,0))</f>
        <v>-3.1806550562386935</v>
      </c>
      <c r="V42" s="277">
        <f ca="1">INDEX(OFFSET('Baseline NFPC'!$D$1:$W$1,$D42-1,0),MATCH(V$4,'Baseline NFPC'!$D$10:$W$10,0))</f>
        <v>-3.2272733139795866</v>
      </c>
      <c r="W42" s="277">
        <f ca="1">INDEX(OFFSET('Baseline NFPC'!$D$1:$W$1,$D42-1,0),MATCH(W$4,'Baseline NFPC'!$D$10:$W$10,0))</f>
        <v>-3.2824077815151367</v>
      </c>
      <c r="X42" s="277">
        <f ca="1">INDEX(OFFSET('Baseline NFPC'!$D$1:$W$1,$D42-1,0),MATCH(X$4,'Baseline NFPC'!$D$10:$W$10,0))</f>
        <v>-3.3719692038213411</v>
      </c>
      <c r="Y42" s="191"/>
    </row>
    <row r="43" spans="1:25" x14ac:dyDescent="0.2">
      <c r="A43" s="191"/>
      <c r="B43" s="284">
        <v>3</v>
      </c>
      <c r="C43" s="288" t="s">
        <v>18</v>
      </c>
      <c r="D43" s="289">
        <v>12</v>
      </c>
      <c r="E43" s="290" t="s">
        <v>149</v>
      </c>
      <c r="F43" s="277">
        <f ca="1">INDEX(OFFSET('Baseline NFPC'!$D$1:$W$1,$D43-1,0),MATCH(F$4,'Baseline NFPC'!$D$10:$W$10,0))</f>
        <v>-1.7785709999999999</v>
      </c>
      <c r="G43" s="277">
        <f ca="1">INDEX(OFFSET('Baseline NFPC'!$D$1:$W$1,$D43-1,0),MATCH(G$4,'Baseline NFPC'!$D$10:$W$10,0))</f>
        <v>-2.0899299999999998</v>
      </c>
      <c r="H43" s="277">
        <f ca="1">INDEX(OFFSET('Baseline NFPC'!$D$1:$W$1,$D43-1,0),MATCH(H$4,'Baseline NFPC'!$D$10:$W$10,0))</f>
        <v>-2.0899299999999998</v>
      </c>
      <c r="I43" s="277">
        <f ca="1">INDEX(OFFSET('Baseline NFPC'!$D$1:$W$1,$D43-1,0),MATCH(I$4,'Baseline NFPC'!$D$10:$W$10,0))</f>
        <v>-2.0899299999999998</v>
      </c>
      <c r="J43" s="277">
        <f ca="1">INDEX(OFFSET('Baseline NFPC'!$D$1:$W$1,$D43-1,0),MATCH(J$4,'Baseline NFPC'!$D$10:$W$10,0))</f>
        <v>-2.0899299999999998</v>
      </c>
      <c r="K43" s="277">
        <f ca="1">INDEX(OFFSET('Baseline NFPC'!$D$1:$W$1,$D43-1,0),MATCH(K$4,'Baseline NFPC'!$D$10:$W$10,0))</f>
        <v>-2.0899299999999998</v>
      </c>
      <c r="L43" s="277">
        <f ca="1">INDEX(OFFSET('Baseline NFPC'!$D$1:$W$1,$D43-1,0),MATCH(L$4,'Baseline NFPC'!$D$10:$W$10,0))</f>
        <v>-2.0899299999999998</v>
      </c>
      <c r="M43" s="277">
        <f ca="1">INDEX(OFFSET('Baseline NFPC'!$D$1:$W$1,$D43-1,0),MATCH(M$4,'Baseline NFPC'!$D$10:$W$10,0))</f>
        <v>-2.0899299999999998</v>
      </c>
      <c r="N43" s="277">
        <f ca="1">INDEX(OFFSET('Baseline NFPC'!$D$1:$W$1,$D43-1,0),MATCH(N$4,'Baseline NFPC'!$D$10:$W$10,0))</f>
        <v>-2.0899299999999998</v>
      </c>
      <c r="O43" s="277">
        <f ca="1">INDEX(OFFSET('Baseline NFPC'!$D$1:$W$1,$D43-1,0),MATCH(O$4,'Baseline NFPC'!$D$10:$W$10,0))</f>
        <v>-2.0899299999999998</v>
      </c>
      <c r="P43" s="277">
        <f ca="1">INDEX(OFFSET('Baseline NFPC'!$D$1:$W$1,$D43-1,0),MATCH(P$4,'Baseline NFPC'!$D$10:$W$10,0))</f>
        <v>-2.0899299999999998</v>
      </c>
      <c r="Q43" s="277">
        <f ca="1">INDEX(OFFSET('Baseline NFPC'!$D$1:$W$1,$D43-1,0),MATCH(Q$4,'Baseline NFPC'!$D$10:$W$10,0))</f>
        <v>-2.0899299999999998</v>
      </c>
      <c r="R43" s="277">
        <f ca="1">INDEX(OFFSET('Baseline NFPC'!$D$1:$W$1,$D43-1,0),MATCH(R$4,'Baseline NFPC'!$D$10:$W$10,0))</f>
        <v>-2.0899299999999998</v>
      </c>
      <c r="S43" s="277">
        <f ca="1">INDEX(OFFSET('Baseline NFPC'!$D$1:$W$1,$D43-1,0),MATCH(S$4,'Baseline NFPC'!$D$10:$W$10,0))</f>
        <v>-2.0899299999999998</v>
      </c>
      <c r="T43" s="277">
        <f ca="1">INDEX(OFFSET('Baseline NFPC'!$D$1:$W$1,$D43-1,0),MATCH(T$4,'Baseline NFPC'!$D$10:$W$10,0))</f>
        <v>-2.0899299999999998</v>
      </c>
      <c r="U43" s="277">
        <f ca="1">INDEX(OFFSET('Baseline NFPC'!$D$1:$W$1,$D43-1,0),MATCH(U$4,'Baseline NFPC'!$D$10:$W$10,0))</f>
        <v>-2.0899299999999998</v>
      </c>
      <c r="V43" s="277">
        <f ca="1">INDEX(OFFSET('Baseline NFPC'!$D$1:$W$1,$D43-1,0),MATCH(V$4,'Baseline NFPC'!$D$10:$W$10,0))</f>
        <v>-2.0899299999999998</v>
      </c>
      <c r="W43" s="277">
        <f ca="1">INDEX(OFFSET('Baseline NFPC'!$D$1:$W$1,$D43-1,0),MATCH(W$4,'Baseline NFPC'!$D$10:$W$10,0))</f>
        <v>-2.0899299999999998</v>
      </c>
      <c r="X43" s="277">
        <f ca="1">INDEX(OFFSET('Baseline NFPC'!$D$1:$W$1,$D43-1,0),MATCH(X$4,'Baseline NFPC'!$D$10:$W$10,0))</f>
        <v>-2.0899299999999998</v>
      </c>
      <c r="Y43" s="191"/>
    </row>
    <row r="44" spans="1:25" x14ac:dyDescent="0.2">
      <c r="A44" s="191"/>
      <c r="B44" s="284">
        <v>4</v>
      </c>
      <c r="C44" s="288" t="s">
        <v>150</v>
      </c>
      <c r="D44" s="289">
        <v>61</v>
      </c>
      <c r="E44" s="290" t="s">
        <v>149</v>
      </c>
      <c r="F44" s="277">
        <f ca="1">INDEX(OFFSET('Baseline NFPC'!$D$1:$W$1,$D44-1,0),MATCH(F$4,'Baseline NFPC'!$D$10:$W$10,0))</f>
        <v>-0.26965387290526494</v>
      </c>
      <c r="G44" s="277">
        <f ca="1">INDEX(OFFSET('Baseline NFPC'!$D$1:$W$1,$D44-1,0),MATCH(G$4,'Baseline NFPC'!$D$10:$W$10,0))</f>
        <v>-5.0657359920302E-2</v>
      </c>
      <c r="H44" s="277">
        <f ca="1">INDEX(OFFSET('Baseline NFPC'!$D$1:$W$1,$D44-1,0),MATCH(H$4,'Baseline NFPC'!$D$10:$W$10,0))</f>
        <v>-3.1210501440960579E-2</v>
      </c>
      <c r="I44" s="277">
        <f ca="1">INDEX(OFFSET('Baseline NFPC'!$D$1:$W$1,$D44-1,0),MATCH(I$4,'Baseline NFPC'!$D$10:$W$10,0))</f>
        <v>-0.16615702465899554</v>
      </c>
      <c r="J44" s="277">
        <f ca="1">INDEX(OFFSET('Baseline NFPC'!$D$1:$W$1,$D44-1,0),MATCH(J$4,'Baseline NFPC'!$D$10:$W$10,0))</f>
        <v>-0.1107703579425042</v>
      </c>
      <c r="K44" s="277">
        <f ca="1">INDEX(OFFSET('Baseline NFPC'!$D$1:$W$1,$D44-1,0),MATCH(K$4,'Baseline NFPC'!$D$10:$W$10,0))</f>
        <v>-5.5383239381516874E-2</v>
      </c>
      <c r="L44" s="277">
        <f ca="1">INDEX(OFFSET('Baseline NFPC'!$D$1:$W$1,$D44-1,0),MATCH(L$4,'Baseline NFPC'!$D$10:$W$10,0))</f>
        <v>3.2662353611323523E-6</v>
      </c>
      <c r="M44" s="277">
        <f ca="1">INDEX(OFFSET('Baseline NFPC'!$D$1:$W$1,$D44-1,0),MATCH(M$4,'Baseline NFPC'!$D$10:$W$10,0))</f>
        <v>4.1429151861338553E-6</v>
      </c>
      <c r="N44" s="277">
        <f ca="1">INDEX(OFFSET('Baseline NFPC'!$D$1:$W$1,$D44-1,0),MATCH(N$4,'Baseline NFPC'!$D$10:$W$10,0))</f>
        <v>3.5576685169402819E-6</v>
      </c>
      <c r="O44" s="277">
        <f ca="1">INDEX(OFFSET('Baseline NFPC'!$D$1:$W$1,$D44-1,0),MATCH(O$4,'Baseline NFPC'!$D$10:$W$10,0))</f>
        <v>3.8505633755736563E-6</v>
      </c>
      <c r="P44" s="277">
        <f ca="1">INDEX(OFFSET('Baseline NFPC'!$D$1:$W$1,$D44-1,0),MATCH(P$4,'Baseline NFPC'!$D$10:$W$10,0))</f>
        <v>3.2641641100950024E-6</v>
      </c>
      <c r="Q44" s="277">
        <f ca="1">INDEX(OFFSET('Baseline NFPC'!$D$1:$W$1,$D44-1,0),MATCH(Q$4,'Baseline NFPC'!$D$10:$W$10,0))</f>
        <v>3.8507424925393607E-6</v>
      </c>
      <c r="R44" s="277">
        <f ca="1">INDEX(OFFSET('Baseline NFPC'!$D$1:$W$1,$D44-1,0),MATCH(R$4,'Baseline NFPC'!$D$10:$W$10,0))</f>
        <v>2.9708297053954167E-6</v>
      </c>
      <c r="S44" s="277">
        <f ca="1">INDEX(OFFSET('Baseline NFPC'!$D$1:$W$1,$D44-1,0),MATCH(S$4,'Baseline NFPC'!$D$10:$W$10,0))</f>
        <v>4.4374264447810676E-6</v>
      </c>
      <c r="T44" s="277">
        <f ca="1">INDEX(OFFSET('Baseline NFPC'!$D$1:$W$1,$D44-1,0),MATCH(T$4,'Baseline NFPC'!$D$10:$W$10,0))</f>
        <v>3.2640887928980788E-6</v>
      </c>
      <c r="U44" s="277">
        <f ca="1">INDEX(OFFSET('Baseline NFPC'!$D$1:$W$1,$D44-1,0),MATCH(U$4,'Baseline NFPC'!$D$10:$W$10,0))</f>
        <v>3.2640887895896142E-6</v>
      </c>
      <c r="V44" s="277">
        <f ca="1">INDEX(OFFSET('Baseline NFPC'!$D$1:$W$1,$D44-1,0),MATCH(V$4,'Baseline NFPC'!$D$10:$W$10,0))</f>
        <v>2.6765643384552005E-6</v>
      </c>
      <c r="W44" s="277">
        <f ca="1">INDEX(OFFSET('Baseline NFPC'!$D$1:$W$1,$D44-1,0),MATCH(W$4,'Baseline NFPC'!$D$10:$W$10,0))</f>
        <v>2.0887179869477632E-6</v>
      </c>
      <c r="X44" s="277">
        <f ca="1">INDEX(OFFSET('Baseline NFPC'!$D$1:$W$1,$D44-1,0),MATCH(X$4,'Baseline NFPC'!$D$10:$W$10,0))</f>
        <v>9.1245674083140216E-7</v>
      </c>
      <c r="Y44" s="191"/>
    </row>
    <row r="45" spans="1:25" x14ac:dyDescent="0.2">
      <c r="A45" s="191"/>
      <c r="B45" s="284">
        <v>5</v>
      </c>
      <c r="C45" s="288" t="s">
        <v>152</v>
      </c>
      <c r="D45" s="289">
        <v>67</v>
      </c>
      <c r="E45" s="290" t="s">
        <v>147</v>
      </c>
      <c r="F45" s="277">
        <f ca="1">INDEX(OFFSET('Baseline NFPC'!$D$1:$W$1,$D45-1,0),MATCH(F$4,'Baseline NFPC'!$D$10:$W$10,0))</f>
        <v>0.49348790772771806</v>
      </c>
      <c r="G45" s="277">
        <f ca="1">INDEX(OFFSET('Baseline NFPC'!$D$1:$W$1,$D45-1,0),MATCH(G$4,'Baseline NFPC'!$D$10:$W$10,0))</f>
        <v>0.59226754090926192</v>
      </c>
      <c r="H45" s="277">
        <f ca="1">INDEX(OFFSET('Baseline NFPC'!$D$1:$W$1,$D45-1,0),MATCH(H$4,'Baseline NFPC'!$D$10:$W$10,0))</f>
        <v>0.58261301423249778</v>
      </c>
      <c r="I45" s="277">
        <f ca="1">INDEX(OFFSET('Baseline NFPC'!$D$1:$W$1,$D45-1,0),MATCH(I$4,'Baseline NFPC'!$D$10:$W$10,0))</f>
        <v>0.54903516025683419</v>
      </c>
      <c r="J45" s="277">
        <f ca="1">INDEX(OFFSET('Baseline NFPC'!$D$1:$W$1,$D45-1,0),MATCH(J$4,'Baseline NFPC'!$D$10:$W$10,0))</f>
        <v>0.6558366784529498</v>
      </c>
      <c r="K45" s="277">
        <f ca="1">INDEX(OFFSET('Baseline NFPC'!$D$1:$W$1,$D45-1,0),MATCH(K$4,'Baseline NFPC'!$D$10:$W$10,0))</f>
        <v>0.77174847971073157</v>
      </c>
      <c r="L45" s="277">
        <f ca="1">INDEX(OFFSET('Baseline NFPC'!$D$1:$W$1,$D45-1,0),MATCH(L$4,'Baseline NFPC'!$D$10:$W$10,0))</f>
        <v>0.88674366294768225</v>
      </c>
      <c r="M45" s="277">
        <f ca="1">INDEX(OFFSET('Baseline NFPC'!$D$1:$W$1,$D45-1,0),MATCH(M$4,'Baseline NFPC'!$D$10:$W$10,0))</f>
        <v>0.99959331496423187</v>
      </c>
      <c r="N45" s="277">
        <f ca="1">INDEX(OFFSET('Baseline NFPC'!$D$1:$W$1,$D45-1,0),MATCH(N$4,'Baseline NFPC'!$D$10:$W$10,0))</f>
        <v>1.1128015981181825</v>
      </c>
      <c r="O45" s="277">
        <f ca="1">INDEX(OFFSET('Baseline NFPC'!$D$1:$W$1,$D45-1,0),MATCH(O$4,'Baseline NFPC'!$D$10:$W$10,0))</f>
        <v>1.226867273177602</v>
      </c>
      <c r="P45" s="277">
        <f ca="1">INDEX(OFFSET('Baseline NFPC'!$D$1:$W$1,$D45-1,0),MATCH(P$4,'Baseline NFPC'!$D$10:$W$10,0))</f>
        <v>1.3427307546091165</v>
      </c>
      <c r="Q45" s="277">
        <f ca="1">INDEX(OFFSET('Baseline NFPC'!$D$1:$W$1,$D45-1,0),MATCH(Q$4,'Baseline NFPC'!$D$10:$W$10,0))</f>
        <v>1.45956072262668</v>
      </c>
      <c r="R45" s="277">
        <f ca="1">INDEX(OFFSET('Baseline NFPC'!$D$1:$W$1,$D45-1,0),MATCH(R$4,'Baseline NFPC'!$D$10:$W$10,0))</f>
        <v>1.5687495059943655</v>
      </c>
      <c r="S45" s="277">
        <f ca="1">INDEX(OFFSET('Baseline NFPC'!$D$1:$W$1,$D45-1,0),MATCH(S$4,'Baseline NFPC'!$D$10:$W$10,0))</f>
        <v>1.6714717140839592</v>
      </c>
      <c r="T45" s="277">
        <f ca="1">INDEX(OFFSET('Baseline NFPC'!$D$1:$W$1,$D45-1,0),MATCH(T$4,'Baseline NFPC'!$D$10:$W$10,0))</f>
        <v>1.7681960859629617</v>
      </c>
      <c r="U45" s="277">
        <f ca="1">INDEX(OFFSET('Baseline NFPC'!$D$1:$W$1,$D45-1,0),MATCH(U$4,'Baseline NFPC'!$D$10:$W$10,0))</f>
        <v>1.8601787921499033</v>
      </c>
      <c r="V45" s="277">
        <f ca="1">INDEX(OFFSET('Baseline NFPC'!$D$1:$W$1,$D45-1,0),MATCH(V$4,'Baseline NFPC'!$D$10:$W$10,0))</f>
        <v>1.9478646374152477</v>
      </c>
      <c r="W45" s="277">
        <f ca="1">INDEX(OFFSET('Baseline NFPC'!$D$1:$W$1,$D45-1,0),MATCH(W$4,'Baseline NFPC'!$D$10:$W$10,0))</f>
        <v>2.0323856927971478</v>
      </c>
      <c r="X45" s="277">
        <f ca="1">INDEX(OFFSET('Baseline NFPC'!$D$1:$W$1,$D45-1,0),MATCH(X$4,'Baseline NFPC'!$D$10:$W$10,0))</f>
        <v>2.1143042913646024</v>
      </c>
      <c r="Y45" s="191"/>
    </row>
    <row r="46" spans="1:25" x14ac:dyDescent="0.2">
      <c r="A46" s="191"/>
      <c r="B46" s="284">
        <v>6</v>
      </c>
      <c r="C46" s="291" t="s">
        <v>63</v>
      </c>
      <c r="D46" s="289">
        <v>36</v>
      </c>
      <c r="E46" s="290" t="s">
        <v>153</v>
      </c>
      <c r="F46" s="277">
        <f ca="1">INDEX(OFFSET('Baseline NFPC'!$D$1:$W$1,$D46-1,0),MATCH(F$4,'Baseline NFPC'!$D$10:$W$10,0))</f>
        <v>3.75</v>
      </c>
      <c r="G46" s="277">
        <f ca="1">INDEX(OFFSET('Baseline NFPC'!$D$1:$W$1,$D46-1,0),MATCH(G$4,'Baseline NFPC'!$D$10:$W$10,0))</f>
        <v>3.9555020000000001</v>
      </c>
      <c r="H46" s="277">
        <f ca="1">INDEX(OFFSET('Baseline NFPC'!$D$1:$W$1,$D46-1,0),MATCH(H$4,'Baseline NFPC'!$D$10:$W$10,0))</f>
        <v>4.0576990000000004</v>
      </c>
      <c r="I46" s="277">
        <f ca="1">INDEX(OFFSET('Baseline NFPC'!$D$1:$W$1,$D46-1,0),MATCH(I$4,'Baseline NFPC'!$D$10:$W$10,0))</f>
        <v>4.1636879999999996</v>
      </c>
      <c r="J46" s="277">
        <f ca="1">INDEX(OFFSET('Baseline NFPC'!$D$1:$W$1,$D46-1,0),MATCH(J$4,'Baseline NFPC'!$D$10:$W$10,0))</f>
        <v>4.2805169999999997</v>
      </c>
      <c r="K46" s="277">
        <f ca="1">INDEX(OFFSET('Baseline NFPC'!$D$1:$W$1,$D46-1,0),MATCH(K$4,'Baseline NFPC'!$D$10:$W$10,0))</f>
        <v>4.3973459999999998</v>
      </c>
      <c r="L46" s="277">
        <f ca="1">INDEX(OFFSET('Baseline NFPC'!$D$1:$W$1,$D46-1,0),MATCH(L$4,'Baseline NFPC'!$D$10:$W$10,0))</f>
        <v>4.5141749999999998</v>
      </c>
      <c r="M46" s="277">
        <f ca="1">INDEX(OFFSET('Baseline NFPC'!$D$1:$W$1,$D46-1,0),MATCH(M$4,'Baseline NFPC'!$D$10:$W$10,0))</f>
        <v>4.6310039999999999</v>
      </c>
      <c r="N46" s="277">
        <f ca="1">INDEX(OFFSET('Baseline NFPC'!$D$1:$W$1,$D46-1,0),MATCH(N$4,'Baseline NFPC'!$D$10:$W$10,0))</f>
        <v>4.747833</v>
      </c>
      <c r="O46" s="277">
        <f ca="1">INDEX(OFFSET('Baseline NFPC'!$D$1:$W$1,$D46-1,0),MATCH(O$4,'Baseline NFPC'!$D$10:$W$10,0))</f>
        <v>4.864662</v>
      </c>
      <c r="P46" s="277">
        <f ca="1">INDEX(OFFSET('Baseline NFPC'!$D$1:$W$1,$D46-1,0),MATCH(P$4,'Baseline NFPC'!$D$10:$W$10,0))</f>
        <v>4.9814910000000001</v>
      </c>
      <c r="Q46" s="277">
        <f ca="1">INDEX(OFFSET('Baseline NFPC'!$D$1:$W$1,$D46-1,0),MATCH(Q$4,'Baseline NFPC'!$D$10:$W$10,0))</f>
        <v>5.0983200000000002</v>
      </c>
      <c r="R46" s="277">
        <f ca="1">INDEX(OFFSET('Baseline NFPC'!$D$1:$W$1,$D46-1,0),MATCH(R$4,'Baseline NFPC'!$D$10:$W$10,0))</f>
        <v>5.0434039999999998</v>
      </c>
      <c r="S46" s="277">
        <f ca="1">INDEX(OFFSET('Baseline NFPC'!$D$1:$W$1,$D46-1,0),MATCH(S$4,'Baseline NFPC'!$D$10:$W$10,0))</f>
        <v>4.9884880000000003</v>
      </c>
      <c r="T46" s="277">
        <f ca="1">INDEX(OFFSET('Baseline NFPC'!$D$1:$W$1,$D46-1,0),MATCH(T$4,'Baseline NFPC'!$D$10:$W$10,0))</f>
        <v>4.9335719999999998</v>
      </c>
      <c r="U46" s="277">
        <f ca="1">INDEX(OFFSET('Baseline NFPC'!$D$1:$W$1,$D46-1,0),MATCH(U$4,'Baseline NFPC'!$D$10:$W$10,0))</f>
        <v>4.8786560000000003</v>
      </c>
      <c r="V46" s="277">
        <f ca="1">INDEX(OFFSET('Baseline NFPC'!$D$1:$W$1,$D46-1,0),MATCH(V$4,'Baseline NFPC'!$D$10:$W$10,0))</f>
        <v>4.8237399999999999</v>
      </c>
      <c r="W46" s="277">
        <f ca="1">INDEX(OFFSET('Baseline NFPC'!$D$1:$W$1,$D46-1,0),MATCH(W$4,'Baseline NFPC'!$D$10:$W$10,0))</f>
        <v>4.7688240000000004</v>
      </c>
      <c r="X46" s="277">
        <f ca="1">INDEX(OFFSET('Baseline NFPC'!$D$1:$W$1,$D46-1,0),MATCH(X$4,'Baseline NFPC'!$D$10:$W$10,0))</f>
        <v>4.713908</v>
      </c>
      <c r="Y46" s="191"/>
    </row>
    <row r="47" spans="1:25" x14ac:dyDescent="0.2">
      <c r="A47" s="191"/>
      <c r="B47" s="284">
        <v>7</v>
      </c>
      <c r="C47" s="291" t="s">
        <v>64</v>
      </c>
      <c r="D47" s="289">
        <v>37</v>
      </c>
      <c r="E47" s="290" t="s">
        <v>153</v>
      </c>
      <c r="F47" s="277">
        <f ca="1">INDEX(OFFSET('Baseline NFPC'!$D$1:$W$1,$D47-1,0),MATCH(F$4,'Baseline NFPC'!$D$10:$W$10,0))</f>
        <v>2.7915420000000002</v>
      </c>
      <c r="G47" s="277">
        <f ca="1">INDEX(OFFSET('Baseline NFPC'!$D$1:$W$1,$D47-1,0),MATCH(G$4,'Baseline NFPC'!$D$10:$W$10,0))</f>
        <v>2.8907919999999998</v>
      </c>
      <c r="H47" s="277">
        <f ca="1">INDEX(OFFSET('Baseline NFPC'!$D$1:$W$1,$D47-1,0),MATCH(H$4,'Baseline NFPC'!$D$10:$W$10,0))</f>
        <v>1.427792</v>
      </c>
      <c r="I47" s="277">
        <f ca="1">INDEX(OFFSET('Baseline NFPC'!$D$1:$W$1,$D47-1,0),MATCH(I$4,'Baseline NFPC'!$D$10:$W$10,0))</f>
        <v>1.3572919999999999</v>
      </c>
      <c r="J47" s="277">
        <f ca="1">INDEX(OFFSET('Baseline NFPC'!$D$1:$W$1,$D47-1,0),MATCH(J$4,'Baseline NFPC'!$D$10:$W$10,0))</f>
        <v>1.5327305</v>
      </c>
      <c r="K47" s="277">
        <f ca="1">INDEX(OFFSET('Baseline NFPC'!$D$1:$W$1,$D47-1,0),MATCH(K$4,'Baseline NFPC'!$D$10:$W$10,0))</f>
        <v>1.708169</v>
      </c>
      <c r="L47" s="277">
        <f ca="1">INDEX(OFFSET('Baseline NFPC'!$D$1:$W$1,$D47-1,0),MATCH(L$4,'Baseline NFPC'!$D$10:$W$10,0))</f>
        <v>1.8836075000000001</v>
      </c>
      <c r="M47" s="277">
        <f ca="1">INDEX(OFFSET('Baseline NFPC'!$D$1:$W$1,$D47-1,0),MATCH(M$4,'Baseline NFPC'!$D$10:$W$10,0))</f>
        <v>2.0590459999999999</v>
      </c>
      <c r="N47" s="277">
        <f ca="1">INDEX(OFFSET('Baseline NFPC'!$D$1:$W$1,$D47-1,0),MATCH(N$4,'Baseline NFPC'!$D$10:$W$10,0))</f>
        <v>2.2344844999999998</v>
      </c>
      <c r="O47" s="277">
        <f ca="1">INDEX(OFFSET('Baseline NFPC'!$D$1:$W$1,$D47-1,0),MATCH(O$4,'Baseline NFPC'!$D$10:$W$10,0))</f>
        <v>2.4099229999999996</v>
      </c>
      <c r="P47" s="277">
        <f ca="1">INDEX(OFFSET('Baseline NFPC'!$D$1:$W$1,$D47-1,0),MATCH(P$4,'Baseline NFPC'!$D$10:$W$10,0))</f>
        <v>2.5853614999999994</v>
      </c>
      <c r="Q47" s="277">
        <f ca="1">INDEX(OFFSET('Baseline NFPC'!$D$1:$W$1,$D47-1,0),MATCH(Q$4,'Baseline NFPC'!$D$10:$W$10,0))</f>
        <v>2.7608000000000001</v>
      </c>
      <c r="R47" s="277">
        <f ca="1">INDEX(OFFSET('Baseline NFPC'!$D$1:$W$1,$D47-1,0),MATCH(R$4,'Baseline NFPC'!$D$10:$W$10,0))</f>
        <v>2.7227600000000001</v>
      </c>
      <c r="S47" s="277">
        <f ca="1">INDEX(OFFSET('Baseline NFPC'!$D$1:$W$1,$D47-1,0),MATCH(S$4,'Baseline NFPC'!$D$10:$W$10,0))</f>
        <v>2.68472</v>
      </c>
      <c r="T47" s="277">
        <f ca="1">INDEX(OFFSET('Baseline NFPC'!$D$1:$W$1,$D47-1,0),MATCH(T$4,'Baseline NFPC'!$D$10:$W$10,0))</f>
        <v>2.6466799999999999</v>
      </c>
      <c r="U47" s="277">
        <f ca="1">INDEX(OFFSET('Baseline NFPC'!$D$1:$W$1,$D47-1,0),MATCH(U$4,'Baseline NFPC'!$D$10:$W$10,0))</f>
        <v>2.6086400000000003</v>
      </c>
      <c r="V47" s="277">
        <f ca="1">INDEX(OFFSET('Baseline NFPC'!$D$1:$W$1,$D47-1,0),MATCH(V$4,'Baseline NFPC'!$D$10:$W$10,0))</f>
        <v>2.5706000000000002</v>
      </c>
      <c r="W47" s="277">
        <f ca="1">INDEX(OFFSET('Baseline NFPC'!$D$1:$W$1,$D47-1,0),MATCH(W$4,'Baseline NFPC'!$D$10:$W$10,0))</f>
        <v>2.5325600000000001</v>
      </c>
      <c r="X47" s="277">
        <f ca="1">INDEX(OFFSET('Baseline NFPC'!$D$1:$W$1,$D47-1,0),MATCH(X$4,'Baseline NFPC'!$D$10:$W$10,0))</f>
        <v>2.4945200000000001</v>
      </c>
      <c r="Y47" s="191"/>
    </row>
    <row r="48" spans="1:25" x14ac:dyDescent="0.2">
      <c r="A48" s="191"/>
      <c r="B48" s="284">
        <v>8</v>
      </c>
      <c r="C48" s="288" t="s">
        <v>154</v>
      </c>
      <c r="D48" s="289">
        <v>35</v>
      </c>
      <c r="E48" s="290" t="s">
        <v>153</v>
      </c>
      <c r="F48" s="277">
        <f ca="1">INDEX(OFFSET('Baseline NFPC'!$D$1:$W$1,$D48-1,0),MATCH(F$4,'Baseline NFPC'!$D$10:$W$10,0))</f>
        <v>2.4150100000000001</v>
      </c>
      <c r="G48" s="277">
        <f ca="1">INDEX(OFFSET('Baseline NFPC'!$D$1:$W$1,$D48-1,0),MATCH(G$4,'Baseline NFPC'!$D$10:$W$10,0))</f>
        <v>2.7772610000000002</v>
      </c>
      <c r="H48" s="277">
        <f ca="1">INDEX(OFFSET('Baseline NFPC'!$D$1:$W$1,$D48-1,0),MATCH(H$4,'Baseline NFPC'!$D$10:$W$10,0))</f>
        <v>2.4995349999999998</v>
      </c>
      <c r="I48" s="277">
        <f ca="1">INDEX(OFFSET('Baseline NFPC'!$D$1:$W$1,$D48-1,0),MATCH(I$4,'Baseline NFPC'!$D$10:$W$10,0))</f>
        <v>2.49952</v>
      </c>
      <c r="J48" s="277">
        <f ca="1">INDEX(OFFSET('Baseline NFPC'!$D$1:$W$1,$D48-1,0),MATCH(J$4,'Baseline NFPC'!$D$10:$W$10,0))</f>
        <v>2.8065168435775996</v>
      </c>
      <c r="K48" s="277">
        <f ca="1">INDEX(OFFSET('Baseline NFPC'!$D$1:$W$1,$D48-1,0),MATCH(K$4,'Baseline NFPC'!$D$10:$W$10,0))</f>
        <v>3.0822332305605915</v>
      </c>
      <c r="L48" s="277">
        <f ca="1">INDEX(OFFSET('Baseline NFPC'!$D$1:$W$1,$D48-1,0),MATCH(L$4,'Baseline NFPC'!$D$10:$W$10,0))</f>
        <v>3.3210924766189094</v>
      </c>
      <c r="M48" s="277">
        <f ca="1">INDEX(OFFSET('Baseline NFPC'!$D$1:$W$1,$D48-1,0),MATCH(M$4,'Baseline NFPC'!$D$10:$W$10,0))</f>
        <v>3.5305700234390045</v>
      </c>
      <c r="N48" s="277">
        <f ca="1">INDEX(OFFSET('Baseline NFPC'!$D$1:$W$1,$D48-1,0),MATCH(N$4,'Baseline NFPC'!$D$10:$W$10,0))</f>
        <v>3.7176741254543493</v>
      </c>
      <c r="O48" s="277">
        <f ca="1">INDEX(OFFSET('Baseline NFPC'!$D$1:$W$1,$D48-1,0),MATCH(O$4,'Baseline NFPC'!$D$10:$W$10,0))</f>
        <v>3.8874793682052871</v>
      </c>
      <c r="P48" s="277">
        <f ca="1">INDEX(OFFSET('Baseline NFPC'!$D$1:$W$1,$D48-1,0),MATCH(P$4,'Baseline NFPC'!$D$10:$W$10,0))</f>
        <v>4.0437153247689777</v>
      </c>
      <c r="Q48" s="277">
        <f ca="1">INDEX(OFFSET('Baseline NFPC'!$D$1:$W$1,$D48-1,0),MATCH(Q$4,'Baseline NFPC'!$D$10:$W$10,0))</f>
        <v>4.1889020456502255</v>
      </c>
      <c r="R48" s="277">
        <f ca="1">INDEX(OFFSET('Baseline NFPC'!$D$1:$W$1,$D48-1,0),MATCH(R$4,'Baseline NFPC'!$D$10:$W$10,0))</f>
        <v>4.3022618384191613</v>
      </c>
      <c r="S48" s="277">
        <f ca="1">INDEX(OFFSET('Baseline NFPC'!$D$1:$W$1,$D48-1,0),MATCH(S$4,'Baseline NFPC'!$D$10:$W$10,0))</f>
        <v>4.3915419780049492</v>
      </c>
      <c r="T48" s="277">
        <f ca="1">INDEX(OFFSET('Baseline NFPC'!$D$1:$W$1,$D48-1,0),MATCH(T$4,'Baseline NFPC'!$D$10:$W$10,0))</f>
        <v>4.4607766746874473</v>
      </c>
      <c r="U48" s="277">
        <f ca="1">INDEX(OFFSET('Baseline NFPC'!$D$1:$W$1,$D48-1,0),MATCH(U$4,'Baseline NFPC'!$D$10:$W$10,0))</f>
        <v>4.5131208254650481</v>
      </c>
      <c r="V48" s="277">
        <f ca="1">INDEX(OFFSET('Baseline NFPC'!$D$1:$W$1,$D48-1,0),MATCH(V$4,'Baseline NFPC'!$D$10:$W$10,0))</f>
        <v>4.5512863667969636</v>
      </c>
      <c r="W48" s="277">
        <f ca="1">INDEX(OFFSET('Baseline NFPC'!$D$1:$W$1,$D48-1,0),MATCH(W$4,'Baseline NFPC'!$D$10:$W$10,0))</f>
        <v>4.5775508380419359</v>
      </c>
      <c r="X48" s="277">
        <f ca="1">INDEX(OFFSET('Baseline NFPC'!$D$1:$W$1,$D48-1,0),MATCH(X$4,'Baseline NFPC'!$D$10:$W$10,0))</f>
        <v>4.5936598633561481</v>
      </c>
      <c r="Y48" s="191"/>
    </row>
    <row r="49" spans="1:25" x14ac:dyDescent="0.2">
      <c r="A49" s="191"/>
      <c r="B49" s="284">
        <v>9</v>
      </c>
      <c r="C49" s="292" t="s">
        <v>40</v>
      </c>
      <c r="D49" s="289">
        <v>26</v>
      </c>
      <c r="E49" s="290" t="s">
        <v>156</v>
      </c>
      <c r="F49" s="277">
        <f ca="1">(INDEX(OFFSET('Baseline NFPC'!$D$1:$W$1,$D49-1,0),MATCH(F$4,'Baseline NFPC'!$D$10:$W$10,0))/INDEX(OFFSET('Baseline NFPC'!$D$1:$W$1,$D49-1,0),MATCH(E$4,'Baseline NFPC'!$D$10:$W$10,0))-1)*100</f>
        <v>2.7298700000000009</v>
      </c>
      <c r="G49" s="277">
        <f ca="1">(INDEX(OFFSET('Baseline NFPC'!$D$1:$W$1,$D49-1,0),MATCH(G$4,'Baseline NFPC'!$D$10:$W$10,0))/INDEX(OFFSET('Baseline NFPC'!$D$1:$W$1,$D49-1,0),MATCH(F$4,'Baseline NFPC'!$D$10:$W$10,0))-1)*100</f>
        <v>3.162935999999994</v>
      </c>
      <c r="H49" s="277">
        <f ca="1">(INDEX(OFFSET('Baseline NFPC'!$D$1:$W$1,$D49-1,0),MATCH(H$4,'Baseline NFPC'!$D$10:$W$10,0))/INDEX(OFFSET('Baseline NFPC'!$D$1:$W$1,$D49-1,0),MATCH(G$4,'Baseline NFPC'!$D$10:$W$10,0))-1)*100</f>
        <v>2.7749940000000084</v>
      </c>
      <c r="I49" s="277">
        <f ca="1">(INDEX(OFFSET('Baseline NFPC'!$D$1:$W$1,$D49-1,0),MATCH(I$4,'Baseline NFPC'!$D$10:$W$10,0))/INDEX(OFFSET('Baseline NFPC'!$D$1:$W$1,$D49-1,0),MATCH(H$4,'Baseline NFPC'!$D$10:$W$10,0))-1)*100</f>
        <v>2.4398549999999908</v>
      </c>
      <c r="J49" s="277">
        <f ca="1">(INDEX(OFFSET('Baseline NFPC'!$D$1:$W$1,$D49-1,0),MATCH(J$4,'Baseline NFPC'!$D$10:$W$10,0))/INDEX(OFFSET('Baseline NFPC'!$D$1:$W$1,$D49-1,0),MATCH(I$4,'Baseline NFPC'!$D$10:$W$10,0))-1)*100</f>
        <v>2.4153290000000105</v>
      </c>
      <c r="K49" s="277">
        <f ca="1">(INDEX(OFFSET('Baseline NFPC'!$D$1:$W$1,$D49-1,0),MATCH(K$4,'Baseline NFPC'!$D$10:$W$10,0))/INDEX(OFFSET('Baseline NFPC'!$D$1:$W$1,$D49-1,0),MATCH(J$4,'Baseline NFPC'!$D$10:$W$10,0))-1)*100</f>
        <v>2.1204339999999933</v>
      </c>
      <c r="L49" s="277">
        <f ca="1">(INDEX(OFFSET('Baseline NFPC'!$D$1:$W$1,$D49-1,0),MATCH(L$4,'Baseline NFPC'!$D$10:$W$10,0))/INDEX(OFFSET('Baseline NFPC'!$D$1:$W$1,$D49-1,0),MATCH(K$4,'Baseline NFPC'!$D$10:$W$10,0))-1)*100</f>
        <v>2.1205850000000082</v>
      </c>
      <c r="M49" s="277">
        <f ca="1">(INDEX(OFFSET('Baseline NFPC'!$D$1:$W$1,$D49-1,0),MATCH(M$4,'Baseline NFPC'!$D$10:$W$10,0))/INDEX(OFFSET('Baseline NFPC'!$D$1:$W$1,$D49-1,0),MATCH(L$4,'Baseline NFPC'!$D$10:$W$10,0))-1)*100</f>
        <v>1.9756450000000036</v>
      </c>
      <c r="N49" s="277">
        <f ca="1">(INDEX(OFFSET('Baseline NFPC'!$D$1:$W$1,$D49-1,0),MATCH(N$4,'Baseline NFPC'!$D$10:$W$10,0))/INDEX(OFFSET('Baseline NFPC'!$D$1:$W$1,$D49-1,0),MATCH(M$4,'Baseline NFPC'!$D$10:$W$10,0))-1)*100</f>
        <v>1.8373870000000014</v>
      </c>
      <c r="O49" s="277">
        <f ca="1">(INDEX(OFFSET('Baseline NFPC'!$D$1:$W$1,$D49-1,0),MATCH(O$4,'Baseline NFPC'!$D$10:$W$10,0))/INDEX(OFFSET('Baseline NFPC'!$D$1:$W$1,$D49-1,0),MATCH(N$4,'Baseline NFPC'!$D$10:$W$10,0))-1)*100</f>
        <v>1.742982000000004</v>
      </c>
      <c r="P49" s="277">
        <f ca="1">(INDEX(OFFSET('Baseline NFPC'!$D$1:$W$1,$D49-1,0),MATCH(P$4,'Baseline NFPC'!$D$10:$W$10,0))/INDEX(OFFSET('Baseline NFPC'!$D$1:$W$1,$D49-1,0),MATCH(O$4,'Baseline NFPC'!$D$10:$W$10,0))-1)*100</f>
        <v>1.6372210000000109</v>
      </c>
      <c r="Q49" s="277">
        <f ca="1">(INDEX(OFFSET('Baseline NFPC'!$D$1:$W$1,$D49-1,0),MATCH(Q$4,'Baseline NFPC'!$D$10:$W$10,0))/INDEX(OFFSET('Baseline NFPC'!$D$1:$W$1,$D49-1,0),MATCH(P$4,'Baseline NFPC'!$D$10:$W$10,0))-1)*100</f>
        <v>1.6061869999999923</v>
      </c>
      <c r="R49" s="277">
        <f ca="1">(INDEX(OFFSET('Baseline NFPC'!$D$1:$W$1,$D49-1,0),MATCH(R$4,'Baseline NFPC'!$D$10:$W$10,0))/INDEX(OFFSET('Baseline NFPC'!$D$1:$W$1,$D49-1,0),MATCH(Q$4,'Baseline NFPC'!$D$10:$W$10,0))-1)*100</f>
        <v>1.6009649999999986</v>
      </c>
      <c r="S49" s="277">
        <f ca="1">(INDEX(OFFSET('Baseline NFPC'!$D$1:$W$1,$D49-1,0),MATCH(S$4,'Baseline NFPC'!$D$10:$W$10,0))/INDEX(OFFSET('Baseline NFPC'!$D$1:$W$1,$D49-1,0),MATCH(R$4,'Baseline NFPC'!$D$10:$W$10,0))-1)*100</f>
        <v>1.595743000000005</v>
      </c>
      <c r="T49" s="277">
        <f ca="1">(INDEX(OFFSET('Baseline NFPC'!$D$1:$W$1,$D49-1,0),MATCH(T$4,'Baseline NFPC'!$D$10:$W$10,0))/INDEX(OFFSET('Baseline NFPC'!$D$1:$W$1,$D49-1,0),MATCH(S$4,'Baseline NFPC'!$D$10:$W$10,0))-1)*100</f>
        <v>1.5905209999999892</v>
      </c>
      <c r="U49" s="277">
        <f ca="1">(INDEX(OFFSET('Baseline NFPC'!$D$1:$W$1,$D49-1,0),MATCH(U$4,'Baseline NFPC'!$D$10:$W$10,0))/INDEX(OFFSET('Baseline NFPC'!$D$1:$W$1,$D49-1,0),MATCH(T$4,'Baseline NFPC'!$D$10:$W$10,0))-1)*100</f>
        <v>1.5116609999999975</v>
      </c>
      <c r="V49" s="277">
        <f ca="1">(INDEX(OFFSET('Baseline NFPC'!$D$1:$W$1,$D49-1,0),MATCH(V$4,'Baseline NFPC'!$D$10:$W$10,0))/INDEX(OFFSET('Baseline NFPC'!$D$1:$W$1,$D49-1,0),MATCH(U$4,'Baseline NFPC'!$D$10:$W$10,0))-1)*100</f>
        <v>1.4425740000000076</v>
      </c>
      <c r="W49" s="277">
        <f ca="1">(INDEX(OFFSET('Baseline NFPC'!$D$1:$W$1,$D49-1,0),MATCH(W$4,'Baseline NFPC'!$D$10:$W$10,0))/INDEX(OFFSET('Baseline NFPC'!$D$1:$W$1,$D49-1,0),MATCH(V$4,'Baseline NFPC'!$D$10:$W$10,0))-1)*100</f>
        <v>1.3870279999999902</v>
      </c>
      <c r="X49" s="277">
        <f ca="1">(INDEX(OFFSET('Baseline NFPC'!$D$1:$W$1,$D49-1,0),MATCH(X$4,'Baseline NFPC'!$D$10:$W$10,0))/INDEX(OFFSET('Baseline NFPC'!$D$1:$W$1,$D49-1,0),MATCH(W$4,'Baseline NFPC'!$D$10:$W$10,0))-1)*100</f>
        <v>1.3380249999999982</v>
      </c>
      <c r="Y49" s="191"/>
    </row>
    <row r="50" spans="1:25" x14ac:dyDescent="0.2">
      <c r="A50" s="191"/>
      <c r="B50" s="284">
        <v>10</v>
      </c>
      <c r="C50" s="280" t="s">
        <v>157</v>
      </c>
      <c r="D50" s="289">
        <v>23</v>
      </c>
      <c r="E50" s="290" t="s">
        <v>156</v>
      </c>
      <c r="F50" s="277">
        <f ca="1">INDEX(OFFSET('Baseline NFPC'!$D$1:$W$1,$D50-1,0),MATCH(F$4,'Baseline NFPC'!$D$10:$W$10,0))</f>
        <v>1.886822</v>
      </c>
      <c r="G50" s="277">
        <f ca="1">INDEX(OFFSET('Baseline NFPC'!$D$1:$W$1,$D50-1,0),MATCH(G$4,'Baseline NFPC'!$D$10:$W$10,0))</f>
        <v>2.4116029999999999</v>
      </c>
      <c r="H50" s="277">
        <f ca="1">INDEX(OFFSET('Baseline NFPC'!$D$1:$W$1,$D50-1,0),MATCH(H$4,'Baseline NFPC'!$D$10:$W$10,0))</f>
        <v>2.7080389999999999</v>
      </c>
      <c r="I50" s="277">
        <f ca="1">INDEX(OFFSET('Baseline NFPC'!$D$1:$W$1,$D50-1,0),MATCH(I$4,'Baseline NFPC'!$D$10:$W$10,0))</f>
        <v>2.9032589999999998</v>
      </c>
      <c r="J50" s="277">
        <f ca="1">INDEX(OFFSET('Baseline NFPC'!$D$1:$W$1,$D50-1,0),MATCH(J$4,'Baseline NFPC'!$D$10:$W$10,0))</f>
        <v>2.2260339999999998</v>
      </c>
      <c r="K50" s="277">
        <f ca="1">INDEX(OFFSET('Baseline NFPC'!$D$1:$W$1,$D50-1,0),MATCH(K$4,'Baseline NFPC'!$D$10:$W$10,0))</f>
        <v>1.931333</v>
      </c>
      <c r="L50" s="277">
        <f ca="1">INDEX(OFFSET('Baseline NFPC'!$D$1:$W$1,$D50-1,0),MATCH(L$4,'Baseline NFPC'!$D$10:$W$10,0))</f>
        <v>1.931135</v>
      </c>
      <c r="M50" s="277">
        <f ca="1">INDEX(OFFSET('Baseline NFPC'!$D$1:$W$1,$D50-1,0),MATCH(M$4,'Baseline NFPC'!$D$10:$W$10,0))</f>
        <v>1.9756419999999999</v>
      </c>
      <c r="N50" s="277">
        <f ca="1">INDEX(OFFSET('Baseline NFPC'!$D$1:$W$1,$D50-1,0),MATCH(N$4,'Baseline NFPC'!$D$10:$W$10,0))</f>
        <v>1.8373889999999999</v>
      </c>
      <c r="O50" s="277">
        <f ca="1">INDEX(OFFSET('Baseline NFPC'!$D$1:$W$1,$D50-1,0),MATCH(O$4,'Baseline NFPC'!$D$10:$W$10,0))</f>
        <v>1.7429809999999999</v>
      </c>
      <c r="P50" s="277">
        <f ca="1">INDEX(OFFSET('Baseline NFPC'!$D$1:$W$1,$D50-1,0),MATCH(P$4,'Baseline NFPC'!$D$10:$W$10,0))</f>
        <v>1.6372230000000001</v>
      </c>
      <c r="Q50" s="277">
        <f ca="1">INDEX(OFFSET('Baseline NFPC'!$D$1:$W$1,$D50-1,0),MATCH(Q$4,'Baseline NFPC'!$D$10:$W$10,0))</f>
        <v>1.606185</v>
      </c>
      <c r="R50" s="277">
        <f ca="1">INDEX(OFFSET('Baseline NFPC'!$D$1:$W$1,$D50-1,0),MATCH(R$4,'Baseline NFPC'!$D$10:$W$10,0))</f>
        <v>1.6009679999999999</v>
      </c>
      <c r="S50" s="277">
        <f ca="1">INDEX(OFFSET('Baseline NFPC'!$D$1:$W$1,$D50-1,0),MATCH(S$4,'Baseline NFPC'!$D$10:$W$10,0))</f>
        <v>1.5957380000000001</v>
      </c>
      <c r="T50" s="277">
        <f ca="1">INDEX(OFFSET('Baseline NFPC'!$D$1:$W$1,$D50-1,0),MATCH(T$4,'Baseline NFPC'!$D$10:$W$10,0))</f>
        <v>1.590525</v>
      </c>
      <c r="U50" s="277">
        <f ca="1">INDEX(OFFSET('Baseline NFPC'!$D$1:$W$1,$D50-1,0),MATCH(U$4,'Baseline NFPC'!$D$10:$W$10,0))</f>
        <v>1.5116609999999999</v>
      </c>
      <c r="V50" s="277">
        <f ca="1">INDEX(OFFSET('Baseline NFPC'!$D$1:$W$1,$D50-1,0),MATCH(V$4,'Baseline NFPC'!$D$10:$W$10,0))</f>
        <v>1.4425760000000001</v>
      </c>
      <c r="W50" s="277">
        <f ca="1">INDEX(OFFSET('Baseline NFPC'!$D$1:$W$1,$D50-1,0),MATCH(W$4,'Baseline NFPC'!$D$10:$W$10,0))</f>
        <v>1.38703</v>
      </c>
      <c r="X50" s="277">
        <f ca="1">INDEX(OFFSET('Baseline NFPC'!$D$1:$W$1,$D50-1,0),MATCH(X$4,'Baseline NFPC'!$D$10:$W$10,0))</f>
        <v>1.3380289999999999</v>
      </c>
      <c r="Y50" s="191"/>
    </row>
    <row r="51" spans="1:25" x14ac:dyDescent="0.2">
      <c r="A51" s="191"/>
      <c r="B51" s="284">
        <v>11</v>
      </c>
      <c r="C51" s="293" t="s">
        <v>158</v>
      </c>
      <c r="D51" s="289">
        <v>41</v>
      </c>
      <c r="E51" s="290" t="s">
        <v>156</v>
      </c>
      <c r="F51" s="277">
        <f ca="1">INDEX(OFFSET('Baseline NFPC'!$D$1:$W$1,$D51-1,0),MATCH(F$4,'Baseline NFPC'!$D$10:$W$10,0))</f>
        <v>7.9842040000000001</v>
      </c>
      <c r="G51" s="277">
        <f ca="1">INDEX(OFFSET('Baseline NFPC'!$D$1:$W$1,$D51-1,0),MATCH(G$4,'Baseline NFPC'!$D$10:$W$10,0))</f>
        <v>4.782108</v>
      </c>
      <c r="H51" s="277">
        <f ca="1">INDEX(OFFSET('Baseline NFPC'!$D$1:$W$1,$D51-1,0),MATCH(H$4,'Baseline NFPC'!$D$10:$W$10,0))</f>
        <v>2.3179340000000002</v>
      </c>
      <c r="I51" s="277">
        <f ca="1">INDEX(OFFSET('Baseline NFPC'!$D$1:$W$1,$D51-1,0),MATCH(I$4,'Baseline NFPC'!$D$10:$W$10,0))</f>
        <v>2.7635109999999998</v>
      </c>
      <c r="J51" s="277">
        <f ca="1">INDEX(OFFSET('Baseline NFPC'!$D$1:$W$1,$D51-1,0),MATCH(J$4,'Baseline NFPC'!$D$10:$W$10,0))</f>
        <v>2.7118221249999999</v>
      </c>
      <c r="K51" s="277">
        <f ca="1">INDEX(OFFSET('Baseline NFPC'!$D$1:$W$1,$D51-1,0),MATCH(K$4,'Baseline NFPC'!$D$10:$W$10,0))</f>
        <v>2.6601332499999999</v>
      </c>
      <c r="L51" s="277">
        <f ca="1">INDEX(OFFSET('Baseline NFPC'!$D$1:$W$1,$D51-1,0),MATCH(L$4,'Baseline NFPC'!$D$10:$W$10,0))</f>
        <v>2.6084443749999999</v>
      </c>
      <c r="M51" s="277">
        <f ca="1">INDEX(OFFSET('Baseline NFPC'!$D$1:$W$1,$D51-1,0),MATCH(M$4,'Baseline NFPC'!$D$10:$W$10,0))</f>
        <v>2.5567555</v>
      </c>
      <c r="N51" s="277">
        <f ca="1">INDEX(OFFSET('Baseline NFPC'!$D$1:$W$1,$D51-1,0),MATCH(N$4,'Baseline NFPC'!$D$10:$W$10,0))</f>
        <v>2.505066625</v>
      </c>
      <c r="O51" s="277">
        <f ca="1">INDEX(OFFSET('Baseline NFPC'!$D$1:$W$1,$D51-1,0),MATCH(O$4,'Baseline NFPC'!$D$10:$W$10,0))</f>
        <v>2.45337775</v>
      </c>
      <c r="P51" s="277">
        <f ca="1">INDEX(OFFSET('Baseline NFPC'!$D$1:$W$1,$D51-1,0),MATCH(P$4,'Baseline NFPC'!$D$10:$W$10,0))</f>
        <v>2.4016888750000001</v>
      </c>
      <c r="Q51" s="277">
        <f ca="1">INDEX(OFFSET('Baseline NFPC'!$D$1:$W$1,$D51-1,0),MATCH(Q$4,'Baseline NFPC'!$D$10:$W$10,0))</f>
        <v>2.35</v>
      </c>
      <c r="R51" s="277">
        <f ca="1">INDEX(OFFSET('Baseline NFPC'!$D$1:$W$1,$D51-1,0),MATCH(R$4,'Baseline NFPC'!$D$10:$W$10,0))</f>
        <v>2.3325</v>
      </c>
      <c r="S51" s="277">
        <f ca="1">INDEX(OFFSET('Baseline NFPC'!$D$1:$W$1,$D51-1,0),MATCH(S$4,'Baseline NFPC'!$D$10:$W$10,0))</f>
        <v>2.3149999999999999</v>
      </c>
      <c r="T51" s="277">
        <f ca="1">INDEX(OFFSET('Baseline NFPC'!$D$1:$W$1,$D51-1,0),MATCH(T$4,'Baseline NFPC'!$D$10:$W$10,0))</f>
        <v>2.2974999999999999</v>
      </c>
      <c r="U51" s="277">
        <f ca="1">INDEX(OFFSET('Baseline NFPC'!$D$1:$W$1,$D51-1,0),MATCH(U$4,'Baseline NFPC'!$D$10:$W$10,0))</f>
        <v>2.2800000000000002</v>
      </c>
      <c r="V51" s="277">
        <f ca="1">INDEX(OFFSET('Baseline NFPC'!$D$1:$W$1,$D51-1,0),MATCH(V$4,'Baseline NFPC'!$D$10:$W$10,0))</f>
        <v>2.2625000000000002</v>
      </c>
      <c r="W51" s="277">
        <f ca="1">INDEX(OFFSET('Baseline NFPC'!$D$1:$W$1,$D51-1,0),MATCH(W$4,'Baseline NFPC'!$D$10:$W$10,0))</f>
        <v>2.2450000000000001</v>
      </c>
      <c r="X51" s="277">
        <f ca="1">INDEX(OFFSET('Baseline NFPC'!$D$1:$W$1,$D51-1,0),MATCH(X$4,'Baseline NFPC'!$D$10:$W$10,0))</f>
        <v>2.2275</v>
      </c>
      <c r="Y51" s="191"/>
    </row>
    <row r="52" spans="1:25" x14ac:dyDescent="0.2">
      <c r="A52" s="191"/>
      <c r="B52" s="284">
        <v>12</v>
      </c>
      <c r="C52" s="280" t="s">
        <v>159</v>
      </c>
      <c r="D52" s="289">
        <v>32</v>
      </c>
      <c r="E52" s="290" t="s">
        <v>156</v>
      </c>
      <c r="F52" s="277">
        <f ca="1">INDEX(OFFSET('Baseline NFPC'!$D$1:$W$1,$D52-1,0),MATCH(F$4,'Baseline NFPC'!$D$10:$W$10,0))</f>
        <v>10.02167371759688</v>
      </c>
      <c r="G52" s="277">
        <f ca="1">INDEX(OFFSET('Baseline NFPC'!$D$1:$W$1,$D52-1,0),MATCH(G$4,'Baseline NFPC'!$D$10:$W$10,0))</f>
        <v>7.3090364599912583</v>
      </c>
      <c r="H52" s="277">
        <f ca="1">INDEX(OFFSET('Baseline NFPC'!$D$1:$W$1,$D52-1,0),MATCH(H$4,'Baseline NFPC'!$D$10:$W$10,0))</f>
        <v>5.0887435567142703</v>
      </c>
      <c r="I52" s="277">
        <f ca="1">INDEX(OFFSET('Baseline NFPC'!$D$1:$W$1,$D52-1,0),MATCH(I$4,'Baseline NFPC'!$D$10:$W$10,0))</f>
        <v>5.747001881823488</v>
      </c>
      <c r="J52" s="277">
        <f ca="1">INDEX(OFFSET('Baseline NFPC'!$D$1:$W$1,$D52-1,0),MATCH(J$4,'Baseline NFPC'!$D$10:$W$10,0))</f>
        <v>4.9982222075220406</v>
      </c>
      <c r="K52" s="277">
        <f ca="1">INDEX(OFFSET('Baseline NFPC'!$D$1:$W$1,$D52-1,0),MATCH(K$4,'Baseline NFPC'!$D$10:$W$10,0))</f>
        <v>4.6428422813012293</v>
      </c>
      <c r="L52" s="277">
        <f ca="1">INDEX(OFFSET('Baseline NFPC'!$D$1:$W$1,$D52-1,0),MATCH(L$4,'Baseline NFPC'!$D$10:$W$10,0))</f>
        <v>4.5899519572811576</v>
      </c>
      <c r="M52" s="277">
        <f ca="1">INDEX(OFFSET('Baseline NFPC'!$D$1:$W$1,$D52-1,0),MATCH(M$4,'Baseline NFPC'!$D$10:$W$10,0))</f>
        <v>4.5829098354953191</v>
      </c>
      <c r="N52" s="277">
        <f ca="1">INDEX(OFFSET('Baseline NFPC'!$D$1:$W$1,$D52-1,0),MATCH(N$4,'Baseline NFPC'!$D$10:$W$10,0))</f>
        <v>4.3884834436104248</v>
      </c>
      <c r="O52" s="277">
        <f ca="1">INDEX(OFFSET('Baseline NFPC'!$D$1:$W$1,$D52-1,0),MATCH(O$4,'Baseline NFPC'!$D$10:$W$10,0))</f>
        <v>4.2391206580407514</v>
      </c>
      <c r="P52" s="277">
        <f ca="1">INDEX(OFFSET('Baseline NFPC'!$D$1:$W$1,$D52-1,0),MATCH(P$4,'Baseline NFPC'!$D$10:$W$10,0))</f>
        <v>4.0782328776499455</v>
      </c>
      <c r="Q52" s="277">
        <f ca="1">INDEX(OFFSET('Baseline NFPC'!$D$1:$W$1,$D52-1,0),MATCH(Q$4,'Baseline NFPC'!$D$10:$W$10,0))</f>
        <v>3.9939303475000187</v>
      </c>
      <c r="R52" s="277">
        <f ca="1">INDEX(OFFSET('Baseline NFPC'!$D$1:$W$1,$D52-1,0),MATCH(R$4,'Baseline NFPC'!$D$10:$W$10,0))</f>
        <v>3.9708105786000036</v>
      </c>
      <c r="S52" s="277">
        <f ca="1">INDEX(OFFSET('Baseline NFPC'!$D$1:$W$1,$D52-1,0),MATCH(S$4,'Baseline NFPC'!$D$10:$W$10,0))</f>
        <v>3.9476793346999939</v>
      </c>
      <c r="T52" s="277">
        <f ca="1">INDEX(OFFSET('Baseline NFPC'!$D$1:$W$1,$D52-1,0),MATCH(T$4,'Baseline NFPC'!$D$10:$W$10,0))</f>
        <v>3.9245673118750046</v>
      </c>
      <c r="U52" s="277">
        <f ca="1">INDEX(OFFSET('Baseline NFPC'!$D$1:$W$1,$D52-1,0),MATCH(U$4,'Baseline NFPC'!$D$10:$W$10,0))</f>
        <v>3.8261268707999951</v>
      </c>
      <c r="V52" s="277">
        <f ca="1">INDEX(OFFSET('Baseline NFPC'!$D$1:$W$1,$D52-1,0),MATCH(V$4,'Baseline NFPC'!$D$10:$W$10,0))</f>
        <v>3.737714281999982</v>
      </c>
      <c r="W52" s="277">
        <f ca="1">INDEX(OFFSET('Baseline NFPC'!$D$1:$W$1,$D52-1,0),MATCH(W$4,'Baseline NFPC'!$D$10:$W$10,0))</f>
        <v>3.6631688235000182</v>
      </c>
      <c r="X52" s="277">
        <f ca="1">INDEX(OFFSET('Baseline NFPC'!$D$1:$W$1,$D52-1,0),MATCH(X$4,'Baseline NFPC'!$D$10:$W$10,0))</f>
        <v>3.5953335959749921</v>
      </c>
      <c r="Y52" s="191"/>
    </row>
    <row r="53" spans="1:25" x14ac:dyDescent="0.2">
      <c r="A53" s="191"/>
      <c r="B53" s="284">
        <v>13</v>
      </c>
      <c r="C53" s="280" t="s">
        <v>46</v>
      </c>
      <c r="D53" s="279"/>
      <c r="E53" s="290" t="s">
        <v>153</v>
      </c>
      <c r="F53" s="296">
        <f>'Input data'!$C$49</f>
        <v>0.75</v>
      </c>
      <c r="G53" s="191"/>
      <c r="H53" s="191"/>
      <c r="I53" s="191"/>
      <c r="J53" s="191"/>
      <c r="K53" s="191"/>
      <c r="L53" s="191"/>
      <c r="M53" s="191"/>
      <c r="N53" s="191"/>
      <c r="O53" s="191"/>
      <c r="P53" s="191"/>
      <c r="Q53" s="191"/>
      <c r="R53" s="191"/>
      <c r="S53" s="191"/>
      <c r="T53" s="191"/>
      <c r="U53" s="191"/>
      <c r="V53" s="191"/>
      <c r="W53" s="191"/>
      <c r="X53" s="191"/>
      <c r="Y53" s="191"/>
    </row>
    <row r="54" spans="1:25" x14ac:dyDescent="0.2">
      <c r="A54" s="191"/>
      <c r="B54" s="278"/>
      <c r="C54" s="299"/>
      <c r="D54" s="299"/>
      <c r="E54" s="299"/>
      <c r="F54" s="299"/>
      <c r="G54" s="299"/>
      <c r="H54" s="299"/>
      <c r="I54" s="299"/>
      <c r="J54" s="299"/>
      <c r="K54" s="191"/>
      <c r="L54" s="191"/>
      <c r="M54" s="191"/>
      <c r="N54" s="191"/>
      <c r="O54" s="191"/>
      <c r="P54" s="191"/>
      <c r="Q54" s="191"/>
      <c r="R54" s="191"/>
      <c r="S54" s="191"/>
      <c r="T54" s="191"/>
      <c r="U54" s="191"/>
      <c r="V54" s="191"/>
      <c r="W54" s="191"/>
      <c r="X54" s="191"/>
      <c r="Y54" s="191"/>
    </row>
    <row r="55" spans="1:25" x14ac:dyDescent="0.2">
      <c r="A55" s="191"/>
      <c r="B55" s="300"/>
      <c r="C55" s="282" t="s">
        <v>165</v>
      </c>
      <c r="D55" s="283"/>
      <c r="E55" s="283"/>
      <c r="F55" s="283"/>
      <c r="G55" s="299"/>
      <c r="H55" s="299"/>
      <c r="I55" s="299"/>
      <c r="J55" s="299"/>
      <c r="K55" s="191"/>
      <c r="L55" s="191"/>
      <c r="M55" s="191"/>
      <c r="N55" s="191"/>
      <c r="O55" s="191"/>
      <c r="P55" s="191"/>
      <c r="Q55" s="191"/>
      <c r="R55" s="191"/>
      <c r="S55" s="191"/>
      <c r="T55" s="191"/>
      <c r="U55" s="191"/>
      <c r="V55" s="191"/>
      <c r="W55" s="191"/>
      <c r="X55" s="191"/>
      <c r="Y55" s="191"/>
    </row>
    <row r="56" spans="1:25" x14ac:dyDescent="0.2">
      <c r="A56" s="191"/>
      <c r="B56" s="278"/>
      <c r="C56" s="299"/>
      <c r="D56" s="299"/>
      <c r="E56" s="299"/>
      <c r="F56" s="299"/>
      <c r="G56" s="299"/>
      <c r="H56" s="299"/>
      <c r="I56" s="299"/>
      <c r="J56" s="299"/>
      <c r="K56" s="191"/>
      <c r="L56" s="191"/>
      <c r="M56" s="191"/>
      <c r="N56" s="191"/>
      <c r="O56" s="191"/>
      <c r="P56" s="191"/>
      <c r="Q56" s="191"/>
      <c r="R56" s="191"/>
      <c r="S56" s="191"/>
      <c r="T56" s="191"/>
      <c r="U56" s="191"/>
      <c r="V56" s="191"/>
      <c r="W56" s="191"/>
      <c r="X56" s="191"/>
      <c r="Y56" s="191"/>
    </row>
    <row r="57" spans="1:25" x14ac:dyDescent="0.2">
      <c r="A57" s="191"/>
      <c r="B57" s="284"/>
      <c r="C57" s="282"/>
      <c r="D57" s="282"/>
      <c r="E57" s="287"/>
      <c r="F57" s="287">
        <f>'Input data'!$C$5-1</f>
        <v>2023</v>
      </c>
      <c r="G57" s="287">
        <f>F57+1</f>
        <v>2024</v>
      </c>
      <c r="H57" s="287">
        <f t="shared" ref="H57:X57" si="2">G57+1</f>
        <v>2025</v>
      </c>
      <c r="I57" s="287">
        <f t="shared" si="2"/>
        <v>2026</v>
      </c>
      <c r="J57" s="287">
        <f t="shared" si="2"/>
        <v>2027</v>
      </c>
      <c r="K57" s="287">
        <f t="shared" si="2"/>
        <v>2028</v>
      </c>
      <c r="L57" s="287">
        <f t="shared" si="2"/>
        <v>2029</v>
      </c>
      <c r="M57" s="287">
        <f t="shared" si="2"/>
        <v>2030</v>
      </c>
      <c r="N57" s="287">
        <f t="shared" si="2"/>
        <v>2031</v>
      </c>
      <c r="O57" s="287">
        <f t="shared" si="2"/>
        <v>2032</v>
      </c>
      <c r="P57" s="287">
        <f t="shared" si="2"/>
        <v>2033</v>
      </c>
      <c r="Q57" s="287">
        <f t="shared" si="2"/>
        <v>2034</v>
      </c>
      <c r="R57" s="287">
        <f t="shared" si="2"/>
        <v>2035</v>
      </c>
      <c r="S57" s="287">
        <f t="shared" si="2"/>
        <v>2036</v>
      </c>
      <c r="T57" s="287">
        <f t="shared" si="2"/>
        <v>2037</v>
      </c>
      <c r="U57" s="287">
        <f t="shared" si="2"/>
        <v>2038</v>
      </c>
      <c r="V57" s="287">
        <f t="shared" si="2"/>
        <v>2039</v>
      </c>
      <c r="W57" s="287">
        <f t="shared" si="2"/>
        <v>2040</v>
      </c>
      <c r="X57" s="287">
        <f t="shared" si="2"/>
        <v>2041</v>
      </c>
      <c r="Y57" s="191"/>
    </row>
    <row r="58" spans="1:25" x14ac:dyDescent="0.2">
      <c r="A58" s="191"/>
      <c r="B58" s="284">
        <v>1</v>
      </c>
      <c r="C58" s="288" t="s">
        <v>146</v>
      </c>
      <c r="D58" s="289">
        <v>92</v>
      </c>
      <c r="E58" s="290" t="s">
        <v>147</v>
      </c>
      <c r="F58" s="277">
        <f ca="1">INDEX(OFFSET('Adjust. no safeguard'!$D$1:$W$1,$D58-1,0),MATCH(F$4,'Adjust. no safeguard'!$D$10:$W$10,0))</f>
        <v>22.884294685123706</v>
      </c>
      <c r="G58" s="277">
        <f ca="1">INDEX(OFFSET('Adjust. no safeguard'!$D$1:$W$1,$D58-1,0),MATCH(G$4,'Adjust. no safeguard'!$D$10:$W$10,0))</f>
        <v>24.494983925203403</v>
      </c>
      <c r="H58" s="277">
        <f ca="1">INDEX(OFFSET('Adjust. no safeguard'!$D$1:$W$1,$D58-1,0),MATCH(H$4,'Adjust. no safeguard'!$D$10:$W$10,0))</f>
        <v>22.990594623762441</v>
      </c>
      <c r="I58" s="277">
        <f ca="1">INDEX(OFFSET('Adjust. no safeguard'!$D$1:$W$1,$D58-1,0),MATCH(I$4,'Adjust. no safeguard'!$D$10:$W$10,0))</f>
        <v>24.058397723368714</v>
      </c>
      <c r="J58" s="277">
        <f ca="1">INDEX(OFFSET('Adjust. no safeguard'!$D$1:$W$1,$D58-1,0),MATCH(J$4,'Adjust. no safeguard'!$D$10:$W$10,0))</f>
        <v>25.532197686239329</v>
      </c>
      <c r="K58" s="277">
        <f ca="1">INDEX(OFFSET('Adjust. no safeguard'!$D$1:$W$1,$D58-1,0),MATCH(K$4,'Adjust. no safeguard'!$D$10:$W$10,0))</f>
        <v>27.181173796262485</v>
      </c>
      <c r="L58" s="277">
        <f ca="1">INDEX(OFFSET('Adjust. no safeguard'!$D$1:$W$1,$D58-1,0),MATCH(L$4,'Adjust. no safeguard'!$D$10:$W$10,0))</f>
        <v>28.788769624891899</v>
      </c>
      <c r="M58" s="277">
        <f ca="1">INDEX(OFFSET('Adjust. no safeguard'!$D$1:$W$1,$D58-1,0),MATCH(M$4,'Adjust. no safeguard'!$D$10:$W$10,0))</f>
        <v>30.347880186843586</v>
      </c>
      <c r="N58" s="277">
        <f ca="1">INDEX(OFFSET('Adjust. no safeguard'!$D$1:$W$1,$D58-1,0),MATCH(N$4,'Adjust. no safeguard'!$D$10:$W$10,0))</f>
        <v>31.919352286156322</v>
      </c>
      <c r="O58" s="277">
        <f ca="1">INDEX(OFFSET('Adjust. no safeguard'!$D$1:$W$1,$D58-1,0),MATCH(O$4,'Adjust. no safeguard'!$D$10:$W$10,0))</f>
        <v>33.499788423623954</v>
      </c>
      <c r="P58" s="277">
        <f ca="1">INDEX(OFFSET('Adjust. no safeguard'!$D$1:$W$1,$D58-1,0),MATCH(P$4,'Adjust. no safeguard'!$D$10:$W$10,0))</f>
        <v>35.090702250765311</v>
      </c>
      <c r="Q58" s="277">
        <f ca="1">INDEX(OFFSET('Adjust. no safeguard'!$D$1:$W$1,$D58-1,0),MATCH(Q$4,'Adjust. no safeguard'!$D$10:$W$10,0))</f>
        <v>36.679754970880005</v>
      </c>
      <c r="R58" s="277">
        <f ca="1">INDEX(OFFSET('Adjust. no safeguard'!$D$1:$W$1,$D58-1,0),MATCH(R$4,'Adjust. no safeguard'!$D$10:$W$10,0))</f>
        <v>38.243468491090525</v>
      </c>
      <c r="S58" s="277">
        <f ca="1">INDEX(OFFSET('Adjust. no safeguard'!$D$1:$W$1,$D58-1,0),MATCH(S$4,'Adjust. no safeguard'!$D$10:$W$10,0))</f>
        <v>39.783902221158542</v>
      </c>
      <c r="T58" s="277">
        <f ca="1">INDEX(OFFSET('Adjust. no safeguard'!$D$1:$W$1,$D58-1,0),MATCH(T$4,'Adjust. no safeguard'!$D$10:$W$10,0))</f>
        <v>41.291914219995306</v>
      </c>
      <c r="U58" s="277">
        <f ca="1">INDEX(OFFSET('Adjust. no safeguard'!$D$1:$W$1,$D58-1,0),MATCH(U$4,'Adjust. no safeguard'!$D$10:$W$10,0))</f>
        <v>42.801342087846287</v>
      </c>
      <c r="V58" s="277">
        <f ca="1">INDEX(OFFSET('Adjust. no safeguard'!$D$1:$W$1,$D58-1,0),MATCH(V$4,'Adjust. no safeguard'!$D$10:$W$10,0))</f>
        <v>44.332358525565716</v>
      </c>
      <c r="W58" s="277">
        <f ca="1">INDEX(OFFSET('Adjust. no safeguard'!$D$1:$W$1,$D58-1,0),MATCH(W$4,'Adjust. no safeguard'!$D$10:$W$10,0))</f>
        <v>45.889568718675676</v>
      </c>
      <c r="X58" s="277">
        <f ca="1">INDEX(OFFSET('Adjust. no safeguard'!$D$1:$W$1,$D58-1,0),MATCH(X$4,'Adjust. no safeguard'!$D$10:$W$10,0))</f>
        <v>47.505823706318708</v>
      </c>
      <c r="Y58" s="191"/>
    </row>
    <row r="59" spans="1:25" x14ac:dyDescent="0.2">
      <c r="A59" s="191"/>
      <c r="B59" s="284">
        <f>B58+1</f>
        <v>2</v>
      </c>
      <c r="C59" s="291" t="s">
        <v>97</v>
      </c>
      <c r="D59" s="289">
        <v>94</v>
      </c>
      <c r="E59" s="290" t="s">
        <v>147</v>
      </c>
      <c r="F59" s="277">
        <f ca="1">INDEX(OFFSET('Adjust. no safeguard'!$D$1:$W$1,$D59-1,0),MATCH(F$4,'Adjust. no safeguard'!$D$10:$W$10,0))</f>
        <v>1.4889803048403729</v>
      </c>
      <c r="G59" s="277">
        <f ca="1">INDEX(OFFSET('Adjust. no safeguard'!$D$1:$W$1,$D59-1,0),MATCH(G$4,'Adjust. no safeguard'!$D$10:$W$10,0))</f>
        <v>1.7185051439948933</v>
      </c>
      <c r="H59" s="277">
        <f ca="1">INDEX(OFFSET('Adjust. no safeguard'!$D$1:$W$1,$D59-1,0),MATCH(H$4,'Adjust. no safeguard'!$D$10:$W$10,0))</f>
        <v>1.5054894404094392</v>
      </c>
      <c r="I59" s="277">
        <f ca="1">INDEX(OFFSET('Adjust. no safeguard'!$D$1:$W$1,$D59-1,0),MATCH(I$4,'Adjust. no safeguard'!$D$10:$W$10,0))</f>
        <v>1.649083073320337</v>
      </c>
      <c r="J59" s="277">
        <f ca="1">INDEX(OFFSET('Adjust. no safeguard'!$D$1:$W$1,$D59-1,0),MATCH(J$4,'Adjust. no safeguard'!$D$10:$W$10,0))</f>
        <v>1.6836470623391986</v>
      </c>
      <c r="K59" s="277">
        <f ca="1">INDEX(OFFSET('Adjust. no safeguard'!$D$1:$W$1,$D59-1,0),MATCH(K$4,'Adjust. no safeguard'!$D$10:$W$10,0))</f>
        <v>1.7350252615668038</v>
      </c>
      <c r="L59" s="277">
        <f ca="1">INDEX(OFFSET('Adjust. no safeguard'!$D$1:$W$1,$D59-1,0),MATCH(L$4,'Adjust. no safeguard'!$D$10:$W$10,0))</f>
        <v>1.7864688466947787</v>
      </c>
      <c r="M59" s="277">
        <f ca="1">INDEX(OFFSET('Adjust. no safeguard'!$D$1:$W$1,$D59-1,0),MATCH(M$4,'Adjust. no safeguard'!$D$10:$W$10,0))</f>
        <v>1.8271213033937534</v>
      </c>
      <c r="N59" s="277">
        <f ca="1">INDEX(OFFSET('Adjust. no safeguard'!$D$1:$W$1,$D59-1,0),MATCH(N$4,'Adjust. no safeguard'!$D$10:$W$10,0))</f>
        <v>1.8609189954348024</v>
      </c>
      <c r="O59" s="277">
        <f ca="1">INDEX(OFFSET('Adjust. no safeguard'!$D$1:$W$1,$D59-1,0),MATCH(O$4,'Adjust. no safeguard'!$D$10:$W$10,0))</f>
        <v>1.8877222919849757</v>
      </c>
      <c r="P59" s="277">
        <f ca="1">INDEX(OFFSET('Adjust. no safeguard'!$D$1:$W$1,$D59-1,0),MATCH(P$4,'Adjust. no safeguard'!$D$10:$W$10,0))</f>
        <v>1.9082240804735529</v>
      </c>
      <c r="Q59" s="277">
        <f ca="1">INDEX(OFFSET('Adjust. no safeguard'!$D$1:$W$1,$D59-1,0),MATCH(Q$4,'Adjust. no safeguard'!$D$10:$W$10,0))</f>
        <v>1.9207941370079251</v>
      </c>
      <c r="R59" s="277">
        <f ca="1">INDEX(OFFSET('Adjust. no safeguard'!$D$1:$W$1,$D59-1,0),MATCH(R$4,'Adjust. no safeguard'!$D$10:$W$10,0))</f>
        <v>2.0080964333980513</v>
      </c>
      <c r="S59" s="277">
        <f ca="1">INDEX(OFFSET('Adjust. no safeguard'!$D$1:$W$1,$D59-1,0),MATCH(S$4,'Adjust. no safeguard'!$D$10:$W$10,0))</f>
        <v>2.094053772153599</v>
      </c>
      <c r="T59" s="277">
        <f ca="1">INDEX(OFFSET('Adjust. no safeguard'!$D$1:$W$1,$D59-1,0),MATCH(T$4,'Adjust. no safeguard'!$D$10:$W$10,0))</f>
        <v>2.1787772348345986</v>
      </c>
      <c r="U59" s="277">
        <f ca="1">INDEX(OFFSET('Adjust. no safeguard'!$D$1:$W$1,$D59-1,0),MATCH(U$4,'Adjust. no safeguard'!$D$10:$W$10,0))</f>
        <v>2.2634067566727425</v>
      </c>
      <c r="V59" s="277">
        <f ca="1">INDEX(OFFSET('Adjust. no safeguard'!$D$1:$W$1,$D59-1,0),MATCH(V$4,'Adjust. no safeguard'!$D$10:$W$10,0))</f>
        <v>2.3480506389779863</v>
      </c>
      <c r="W59" s="277">
        <f ca="1">INDEX(OFFSET('Adjust. no safeguard'!$D$1:$W$1,$D59-1,0),MATCH(W$4,'Adjust. no safeguard'!$D$10:$W$10,0))</f>
        <v>2.433700809549646</v>
      </c>
      <c r="X59" s="277">
        <f ca="1">INDEX(OFFSET('Adjust. no safeguard'!$D$1:$W$1,$D59-1,0),MATCH(X$4,'Adjust. no safeguard'!$D$10:$W$10,0))</f>
        <v>2.5207516868613369</v>
      </c>
      <c r="Y59" s="191"/>
    </row>
    <row r="60" spans="1:25" x14ac:dyDescent="0.2">
      <c r="A60" s="191"/>
      <c r="B60" s="284">
        <f t="shared" ref="B60:B62" si="3">B59+1</f>
        <v>3</v>
      </c>
      <c r="C60" s="291" t="s">
        <v>98</v>
      </c>
      <c r="D60" s="289">
        <v>95</v>
      </c>
      <c r="E60" s="290" t="s">
        <v>147</v>
      </c>
      <c r="F60" s="277">
        <f ca="1">INDEX(OFFSET('Adjust. no safeguard'!$D$1:$W$1,$D60-1,0),MATCH(F$4,'Adjust. no safeguard'!$D$10:$W$10,0))</f>
        <v>0</v>
      </c>
      <c r="G60" s="277">
        <f ca="1">INDEX(OFFSET('Adjust. no safeguard'!$D$1:$W$1,$D60-1,0),MATCH(G$4,'Adjust. no safeguard'!$D$10:$W$10,0))</f>
        <v>0</v>
      </c>
      <c r="H60" s="277">
        <f ca="1">INDEX(OFFSET('Adjust. no safeguard'!$D$1:$W$1,$D60-1,0),MATCH(H$4,'Adjust. no safeguard'!$D$10:$W$10,0))</f>
        <v>4.7929485589202009E-3</v>
      </c>
      <c r="I60" s="277">
        <f ca="1">INDEX(OFFSET('Adjust. no safeguard'!$D$1:$W$1,$D60-1,0),MATCH(I$4,'Adjust. no safeguard'!$D$10:$W$10,0))</f>
        <v>4.5324675627909216E-3</v>
      </c>
      <c r="J60" s="277">
        <f ca="1">INDEX(OFFSET('Adjust. no safeguard'!$D$1:$W$1,$D60-1,0),MATCH(J$4,'Adjust. no safeguard'!$D$10:$W$10,0))</f>
        <v>8.5628954400596806E-3</v>
      </c>
      <c r="K60" s="277">
        <f ca="1">INDEX(OFFSET('Adjust. no safeguard'!$D$1:$W$1,$D60-1,0),MATCH(K$4,'Adjust. no safeguard'!$D$10:$W$10,0))</f>
        <v>1.2998450100966652E-2</v>
      </c>
      <c r="L60" s="277">
        <f ca="1">INDEX(OFFSET('Adjust. no safeguard'!$D$1:$W$1,$D60-1,0),MATCH(L$4,'Adjust. no safeguard'!$D$10:$W$10,0))</f>
        <v>1.7545312885546931E-2</v>
      </c>
      <c r="M60" s="277">
        <f ca="1">INDEX(OFFSET('Adjust. no safeguard'!$D$1:$W$1,$D60-1,0),MATCH(M$4,'Adjust. no safeguard'!$D$10:$W$10,0))</f>
        <v>2.1928414113201362E-2</v>
      </c>
      <c r="N60" s="277">
        <f ca="1">INDEX(OFFSET('Adjust. no safeguard'!$D$1:$W$1,$D60-1,0),MATCH(N$4,'Adjust. no safeguard'!$D$10:$W$10,0))</f>
        <v>2.6205343558094282E-2</v>
      </c>
      <c r="O60" s="277">
        <f ca="1">INDEX(OFFSET('Adjust. no safeguard'!$D$1:$W$1,$D60-1,0),MATCH(O$4,'Adjust. no safeguard'!$D$10:$W$10,0))</f>
        <v>3.0395055189880841E-2</v>
      </c>
      <c r="P60" s="277">
        <f ca="1">INDEX(OFFSET('Adjust. no safeguard'!$D$1:$W$1,$D60-1,0),MATCH(P$4,'Adjust. no safeguard'!$D$10:$W$10,0))</f>
        <v>3.4525285194138937E-2</v>
      </c>
      <c r="Q60" s="277">
        <f ca="1">INDEX(OFFSET('Adjust. no safeguard'!$D$1:$W$1,$D60-1,0),MATCH(Q$4,'Adjust. no safeguard'!$D$10:$W$10,0))</f>
        <v>3.8571263048267308E-2</v>
      </c>
      <c r="R60" s="277">
        <f ca="1">INDEX(OFFSET('Adjust. no safeguard'!$D$1:$W$1,$D60-1,0),MATCH(R$4,'Adjust. no safeguard'!$D$10:$W$10,0))</f>
        <v>4.2532633193583004E-2</v>
      </c>
      <c r="S60" s="277">
        <f ca="1">INDEX(OFFSET('Adjust. no safeguard'!$D$1:$W$1,$D60-1,0),MATCH(S$4,'Adjust. no safeguard'!$D$10:$W$10,0))</f>
        <v>4.6404565669191121E-2</v>
      </c>
      <c r="T60" s="277">
        <f ca="1">INDEX(OFFSET('Adjust. no safeguard'!$D$1:$W$1,$D60-1,0),MATCH(T$4,'Adjust. no safeguard'!$D$10:$W$10,0))</f>
        <v>5.0192910986740079E-2</v>
      </c>
      <c r="U60" s="277">
        <f ca="1">INDEX(OFFSET('Adjust. no safeguard'!$D$1:$W$1,$D60-1,0),MATCH(U$4,'Adjust. no safeguard'!$D$10:$W$10,0))</f>
        <v>5.3921796453704166E-2</v>
      </c>
      <c r="V60" s="277">
        <f ca="1">INDEX(OFFSET('Adjust. no safeguard'!$D$1:$W$1,$D60-1,0),MATCH(V$4,'Adjust. no safeguard'!$D$10:$W$10,0))</f>
        <v>5.7600662049777207E-2</v>
      </c>
      <c r="W60" s="277">
        <f ca="1">INDEX(OFFSET('Adjust. no safeguard'!$D$1:$W$1,$D60-1,0),MATCH(W$4,'Adjust. no safeguard'!$D$10:$W$10,0))</f>
        <v>6.1269046975351751E-2</v>
      </c>
      <c r="X60" s="277">
        <f ca="1">INDEX(OFFSET('Adjust. no safeguard'!$D$1:$W$1,$D60-1,0),MATCH(X$4,'Adjust. no safeguard'!$D$10:$W$10,0))</f>
        <v>6.4944261406171822E-2</v>
      </c>
      <c r="Y60" s="191"/>
    </row>
    <row r="61" spans="1:25" x14ac:dyDescent="0.2">
      <c r="A61" s="191"/>
      <c r="B61" s="284">
        <f t="shared" si="3"/>
        <v>4</v>
      </c>
      <c r="C61" s="291" t="s">
        <v>99</v>
      </c>
      <c r="D61" s="289">
        <v>96</v>
      </c>
      <c r="E61" s="290" t="s">
        <v>147</v>
      </c>
      <c r="F61" s="277">
        <f ca="1">INDEX(OFFSET('Adjust. no safeguard'!$D$1:$W$1,$D61-1,0),MATCH(F$4,'Adjust. no safeguard'!$D$10:$W$10,0))</f>
        <v>2.4522645020544749</v>
      </c>
      <c r="G61" s="277">
        <f ca="1">INDEX(OFFSET('Adjust. no safeguard'!$D$1:$W$1,$D61-1,0),MATCH(G$4,'Adjust. no safeguard'!$D$10:$W$10,0))</f>
        <v>3.1637745578569554</v>
      </c>
      <c r="H61" s="277">
        <f ca="1">INDEX(OFFSET('Adjust. no safeguard'!$D$1:$W$1,$D61-1,0),MATCH(H$4,'Adjust. no safeguard'!$D$10:$W$10,0))</f>
        <v>0</v>
      </c>
      <c r="I61" s="277">
        <f ca="1">INDEX(OFFSET('Adjust. no safeguard'!$D$1:$W$1,$D61-1,0),MATCH(I$4,'Adjust. no safeguard'!$D$10:$W$10,0))</f>
        <v>2.3128079094988641</v>
      </c>
      <c r="J61" s="277">
        <f ca="1">INDEX(OFFSET('Adjust. no safeguard'!$D$1:$W$1,$D61-1,0),MATCH(J$4,'Adjust. no safeguard'!$D$10:$W$10,0))</f>
        <v>2.6140109468176407</v>
      </c>
      <c r="K61" s="277">
        <f ca="1">INDEX(OFFSET('Adjust. no safeguard'!$D$1:$W$1,$D61-1,0),MATCH(K$4,'Adjust. no safeguard'!$D$10:$W$10,0))</f>
        <v>2.7764483442558308</v>
      </c>
      <c r="L61" s="277">
        <f ca="1">INDEX(OFFSET('Adjust. no safeguard'!$D$1:$W$1,$D61-1,0),MATCH(L$4,'Adjust. no safeguard'!$D$10:$W$10,0))</f>
        <v>2.795059275509657</v>
      </c>
      <c r="M61" s="277">
        <f ca="1">INDEX(OFFSET('Adjust. no safeguard'!$D$1:$W$1,$D61-1,0),MATCH(M$4,'Adjust. no safeguard'!$D$10:$W$10,0))</f>
        <v>2.8152313737033214</v>
      </c>
      <c r="N61" s="277">
        <f ca="1">INDEX(OFFSET('Adjust. no safeguard'!$D$1:$W$1,$D61-1,0),MATCH(N$4,'Adjust. no safeguard'!$D$10:$W$10,0))</f>
        <v>2.8418163455150696</v>
      </c>
      <c r="O61" s="277">
        <f ca="1">INDEX(OFFSET('Adjust. no safeguard'!$D$1:$W$1,$D61-1,0),MATCH(O$4,'Adjust. no safeguard'!$D$10:$W$10,0))</f>
        <v>2.8729708628842938</v>
      </c>
      <c r="P61" s="277">
        <f ca="1">INDEX(OFFSET('Adjust. no safeguard'!$D$1:$W$1,$D61-1,0),MATCH(P$4,'Adjust. no safeguard'!$D$10:$W$10,0))</f>
        <v>2.8979931564388548</v>
      </c>
      <c r="Q61" s="277">
        <f ca="1">INDEX(OFFSET('Adjust. no safeguard'!$D$1:$W$1,$D61-1,0),MATCH(Q$4,'Adjust. no safeguard'!$D$10:$W$10,0))</f>
        <v>2.9310755418030054</v>
      </c>
      <c r="R61" s="277">
        <f ca="1">INDEX(OFFSET('Adjust. no safeguard'!$D$1:$W$1,$D61-1,0),MATCH(R$4,'Adjust. no safeguard'!$D$10:$W$10,0))</f>
        <v>2.9588678506141299</v>
      </c>
      <c r="S61" s="277">
        <f ca="1">INDEX(OFFSET('Adjust. no safeguard'!$D$1:$W$1,$D61-1,0),MATCH(S$4,'Adjust. no safeguard'!$D$10:$W$10,0))</f>
        <v>2.9870691883653389</v>
      </c>
      <c r="T61" s="277">
        <f ca="1">INDEX(OFFSET('Adjust. no safeguard'!$D$1:$W$1,$D61-1,0),MATCH(T$4,'Adjust. no safeguard'!$D$10:$W$10,0))</f>
        <v>3.0046039494891574</v>
      </c>
      <c r="U61" s="277">
        <f ca="1">INDEX(OFFSET('Adjust. no safeguard'!$D$1:$W$1,$D61-1,0),MATCH(U$4,'Adjust. no safeguard'!$D$10:$W$10,0))</f>
        <v>3.025256423254683</v>
      </c>
      <c r="V61" s="277">
        <f ca="1">INDEX(OFFSET('Adjust. no safeguard'!$D$1:$W$1,$D61-1,0),MATCH(V$4,'Adjust. no safeguard'!$D$10:$W$10,0))</f>
        <v>3.0672543536990808</v>
      </c>
      <c r="W61" s="277">
        <f ca="1">INDEX(OFFSET('Adjust. no safeguard'!$D$1:$W$1,$D61-1,0),MATCH(W$4,'Adjust. no safeguard'!$D$10:$W$10,0))</f>
        <v>3.1177825876940255</v>
      </c>
      <c r="X61" s="277">
        <f ca="1">INDEX(OFFSET('Adjust. no safeguard'!$D$1:$W$1,$D61-1,0),MATCH(X$4,'Adjust. no safeguard'!$D$10:$W$10,0))</f>
        <v>3.2027040788543282</v>
      </c>
      <c r="Y61" s="191"/>
    </row>
    <row r="62" spans="1:25" x14ac:dyDescent="0.2">
      <c r="A62" s="191"/>
      <c r="B62" s="284">
        <f t="shared" si="3"/>
        <v>5</v>
      </c>
      <c r="C62" s="291" t="s">
        <v>100</v>
      </c>
      <c r="D62" s="289">
        <v>97</v>
      </c>
      <c r="E62" s="290" t="s">
        <v>147</v>
      </c>
      <c r="F62" s="277">
        <f ca="1">INDEX(OFFSET('Adjust. no safeguard'!$D$1:$W$1,$D62-1,0),MATCH(F$4,'Adjust. no safeguard'!$D$10:$W$10,0))</f>
        <v>0</v>
      </c>
      <c r="G62" s="277">
        <f ca="1">INDEX(OFFSET('Adjust. no safeguard'!$D$1:$W$1,$D62-1,0),MATCH(G$4,'Adjust. no safeguard'!$D$10:$W$10,0))</f>
        <v>6.0988364105707196E-3</v>
      </c>
      <c r="H62" s="277">
        <f ca="1">INDEX(OFFSET('Adjust. no safeguard'!$D$1:$W$1,$D62-1,0),MATCH(H$4,'Adjust. no safeguard'!$D$10:$W$10,0))</f>
        <v>0</v>
      </c>
      <c r="I62" s="277">
        <f ca="1">INDEX(OFFSET('Adjust. no safeguard'!$D$1:$W$1,$D62-1,0),MATCH(I$4,'Adjust. no safeguard'!$D$10:$W$10,0))</f>
        <v>4.4584204187615118E-3</v>
      </c>
      <c r="J62" s="277">
        <f ca="1">INDEX(OFFSET('Adjust. no safeguard'!$D$1:$W$1,$D62-1,0),MATCH(J$4,'Adjust. no safeguard'!$D$10:$W$10,0))</f>
        <v>5.0390521981062966E-3</v>
      </c>
      <c r="K62" s="277">
        <f ca="1">INDEX(OFFSET('Adjust. no safeguard'!$D$1:$W$1,$D62-1,0),MATCH(K$4,'Adjust. no safeguard'!$D$10:$W$10,0))</f>
        <v>5.352184216781305E-3</v>
      </c>
      <c r="L62" s="277">
        <f ca="1">INDEX(OFFSET('Adjust. no safeguard'!$D$1:$W$1,$D62-1,0),MATCH(L$4,'Adjust. no safeguard'!$D$10:$W$10,0))</f>
        <v>5.3880606748189317E-3</v>
      </c>
      <c r="M62" s="277">
        <f ca="1">INDEX(OFFSET('Adjust. no safeguard'!$D$1:$W$1,$D62-1,0),MATCH(M$4,'Adjust. no safeguard'!$D$10:$W$10,0))</f>
        <v>5.4269466082795207E-3</v>
      </c>
      <c r="N62" s="277">
        <f ca="1">INDEX(OFFSET('Adjust. no safeguard'!$D$1:$W$1,$D62-1,0),MATCH(N$4,'Adjust. no safeguard'!$D$10:$W$10,0))</f>
        <v>5.4781946953648755E-3</v>
      </c>
      <c r="O62" s="277">
        <f ca="1">INDEX(OFFSET('Adjust. no safeguard'!$D$1:$W$1,$D62-1,0),MATCH(O$4,'Adjust. no safeguard'!$D$10:$W$10,0))</f>
        <v>5.5382515361449237E-3</v>
      </c>
      <c r="P62" s="277">
        <f ca="1">INDEX(OFFSET('Adjust. no safeguard'!$D$1:$W$1,$D62-1,0),MATCH(P$4,'Adjust. no safeguard'!$D$10:$W$10,0))</f>
        <v>5.5864872344273953E-3</v>
      </c>
      <c r="Q62" s="277">
        <f ca="1">INDEX(OFFSET('Adjust. no safeguard'!$D$1:$W$1,$D62-1,0),MATCH(Q$4,'Adjust. no safeguard'!$D$10:$W$10,0))</f>
        <v>5.6502604435223194E-3</v>
      </c>
      <c r="R62" s="277">
        <f ca="1">INDEX(OFFSET('Adjust. no safeguard'!$D$1:$W$1,$D62-1,0),MATCH(R$4,'Adjust. no safeguard'!$D$10:$W$10,0))</f>
        <v>5.7038359249010958E-3</v>
      </c>
      <c r="S62" s="277">
        <f ca="1">INDEX(OFFSET('Adjust. no safeguard'!$D$1:$W$1,$D62-1,0),MATCH(S$4,'Adjust. no safeguard'!$D$10:$W$10,0))</f>
        <v>5.7581998950129174E-3</v>
      </c>
      <c r="T62" s="277">
        <f ca="1">INDEX(OFFSET('Adjust. no safeguard'!$D$1:$W$1,$D62-1,0),MATCH(T$4,'Adjust. no safeguard'!$D$10:$W$10,0))</f>
        <v>5.7920018103001566E-3</v>
      </c>
      <c r="U62" s="277">
        <f ca="1">INDEX(OFFSET('Adjust. no safeguard'!$D$1:$W$1,$D62-1,0),MATCH(U$4,'Adjust. no safeguard'!$D$10:$W$10,0))</f>
        <v>5.8318137680317033E-3</v>
      </c>
      <c r="V62" s="277">
        <f ca="1">INDEX(OFFSET('Adjust. no safeguard'!$D$1:$W$1,$D62-1,0),MATCH(V$4,'Adjust. no safeguard'!$D$10:$W$10,0))</f>
        <v>5.9127735528326821E-3</v>
      </c>
      <c r="W62" s="277">
        <f ca="1">INDEX(OFFSET('Adjust. no safeguard'!$D$1:$W$1,$D62-1,0),MATCH(W$4,'Adjust. no safeguard'!$D$10:$W$10,0))</f>
        <v>6.0101772798096592E-3</v>
      </c>
      <c r="X62" s="277">
        <f ca="1">INDEX(OFFSET('Adjust. no safeguard'!$D$1:$W$1,$D62-1,0),MATCH(X$4,'Adjust. no safeguard'!$D$10:$W$10,0))</f>
        <v>6.1738811951351667E-3</v>
      </c>
      <c r="Y62" s="191"/>
    </row>
    <row r="63" spans="1:25" x14ac:dyDescent="0.2">
      <c r="A63" s="191"/>
      <c r="B63" s="191"/>
      <c r="C63" s="191"/>
      <c r="D63" s="191"/>
      <c r="E63" s="191"/>
      <c r="F63" s="191"/>
      <c r="G63" s="191"/>
      <c r="H63" s="191"/>
      <c r="I63" s="191"/>
      <c r="J63" s="191"/>
      <c r="K63" s="191"/>
      <c r="L63" s="191"/>
      <c r="M63" s="191"/>
      <c r="N63" s="191"/>
      <c r="O63" s="191"/>
      <c r="P63" s="191"/>
      <c r="Q63" s="191"/>
      <c r="R63" s="191"/>
      <c r="S63" s="191"/>
      <c r="T63" s="191"/>
      <c r="U63" s="191"/>
      <c r="V63" s="191"/>
      <c r="W63" s="191"/>
      <c r="X63" s="191"/>
      <c r="Y63" s="191"/>
    </row>
  </sheetData>
  <conditionalFormatting sqref="V4:X63">
    <cfRule type="expression" dxfId="1" priority="1">
      <formula>#REF!=4</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expression" priority="2" id="{453C3D5C-4594-4EBA-A371-1F9FAC65D259}">
            <xm:f>'Criteria results'!$F$5=4</xm:f>
            <x14:dxf>
              <font>
                <color theme="0"/>
              </font>
              <fill>
                <patternFill>
                  <bgColor theme="0"/>
                </patternFill>
              </fill>
            </x14:dxf>
          </x14:cfRule>
          <xm:sqref>V4:X63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1D7CDCA61137D46922835CA98C0641D" ma:contentTypeVersion="8" ma:contentTypeDescription="Create a new document." ma:contentTypeScope="" ma:versionID="6659297bf1036fa7eae64cf0e7c2fac9">
  <xsd:schema xmlns:xsd="http://www.w3.org/2001/XMLSchema" xmlns:xs="http://www.w3.org/2001/XMLSchema" xmlns:p="http://schemas.microsoft.com/office/2006/metadata/properties" xmlns:ns2="b29b9b01-a41b-4cdd-ba34-21bb9c415350" xmlns:ns3="150bf796-665d-42d8-bec5-8541ade97521" targetNamespace="http://schemas.microsoft.com/office/2006/metadata/properties" ma:root="true" ma:fieldsID="9a4b96746bcdbed031cdc5f86c6e749b" ns2:_="" ns3:_="">
    <xsd:import namespace="b29b9b01-a41b-4cdd-ba34-21bb9c415350"/>
    <xsd:import namespace="150bf796-665d-42d8-bec5-8541ade975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9b9b01-a41b-4cdd-ba34-21bb9c4153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0bf796-665d-42d8-bec5-8541ade975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5379F7-D4E7-4A0C-87B7-761C7833B493}">
  <ds:schemaRefs>
    <ds:schemaRef ds:uri="http://schemas.microsoft.com/sharepoint/v3/contenttype/forms"/>
  </ds:schemaRefs>
</ds:datastoreItem>
</file>

<file path=customXml/itemProps2.xml><?xml version="1.0" encoding="utf-8"?>
<ds:datastoreItem xmlns:ds="http://schemas.openxmlformats.org/officeDocument/2006/customXml" ds:itemID="{DDE1AD19-26CE-486A-AEF9-44A7210D2685}">
  <ds:schemaRefs>
    <ds:schemaRef ds:uri="http://schemas.microsoft.com/office/2006/metadata/properties"/>
    <ds:schemaRef ds:uri="b29b9b01-a41b-4cdd-ba34-21bb9c415350"/>
    <ds:schemaRef ds:uri="http://purl.org/dc/terms/"/>
    <ds:schemaRef ds:uri="http://purl.org/dc/elements/1.1/"/>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150bf796-665d-42d8-bec5-8541ade97521"/>
    <ds:schemaRef ds:uri="http://www.w3.org/XML/1998/namespace"/>
  </ds:schemaRefs>
</ds:datastoreItem>
</file>

<file path=customXml/itemProps3.xml><?xml version="1.0" encoding="utf-8"?>
<ds:datastoreItem xmlns:ds="http://schemas.openxmlformats.org/officeDocument/2006/customXml" ds:itemID="{C69BE971-F562-4B09-A9E1-668BAAF544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9b9b01-a41b-4cdd-ba34-21bb9c415350"/>
    <ds:schemaRef ds:uri="150bf796-665d-42d8-bec5-8541ade975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Read me</vt:lpstr>
      <vt:lpstr>Criteria results</vt:lpstr>
      <vt:lpstr>Input data</vt:lpstr>
      <vt:lpstr>Baseline NFPC</vt:lpstr>
      <vt:lpstr>Adjustment scenario</vt:lpstr>
      <vt:lpstr>Adjust. no safeguard</vt:lpstr>
      <vt:lpstr>FASTOP reporting</vt:lpstr>
      <vt:lpstr>FASTOP rep. no safeguard</vt:lpstr>
    </vt:vector>
  </TitlesOfParts>
  <Manager/>
  <Company>European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SAIL Etienne (ECFIN)</dc:creator>
  <cp:keywords/>
  <dc:description/>
  <cp:lastModifiedBy>COURTOY Francois (ECFIN)</cp:lastModifiedBy>
  <cp:revision/>
  <dcterms:created xsi:type="dcterms:W3CDTF">2013-04-12T08:50:12Z</dcterms:created>
  <dcterms:modified xsi:type="dcterms:W3CDTF">2025-01-08T10:31:55Z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2023-01-31T12:59:42Z</vt:lpwstr>
  </property>
  <property fmtid="{D5CDD505-2E9C-101B-9397-08002B2CF9AE}" pid="4" name="MSIP_Label_6bd9ddd1-4d20-43f6-abfa-fc3c07406f94_Method">
    <vt:lpwstr>Privileged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b0fa60c5-7b78-4404-9a0b-188770adde17</vt:lpwstr>
  </property>
  <property fmtid="{D5CDD505-2E9C-101B-9397-08002B2CF9AE}" pid="8" name="MSIP_Label_6bd9ddd1-4d20-43f6-abfa-fc3c07406f94_ContentBits">
    <vt:lpwstr>0</vt:lpwstr>
  </property>
  <property fmtid="{D5CDD505-2E9C-101B-9397-08002B2CF9AE}" pid="9" name="ContentTypeId">
    <vt:lpwstr>0x01010021D7CDCA61137D46922835CA98C0641D</vt:lpwstr>
  </property>
</Properties>
</file>